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ork\제주지식산업센터\07_임대관리\02_입주기업모집\01_입주기업모집_공고계획\01_5차_입주기업모집계획\내부결재\02_공고안\"/>
    </mc:Choice>
  </mc:AlternateContent>
  <xr:revisionPtr revIDLastSave="0" documentId="13_ncr:1_{41070C73-A280-4E41-927B-AFA465A9E1FA}" xr6:coauthVersionLast="47" xr6:coauthVersionMax="47" xr10:uidLastSave="{00000000-0000-0000-0000-000000000000}"/>
  <bookViews>
    <workbookView xWindow="28680" yWindow="-780" windowWidth="29040" windowHeight="15720" firstSheet="1" activeTab="1" xr2:uid="{00000000-000D-0000-FFFF-FFFF00000000}"/>
  </bookViews>
  <sheets>
    <sheet name="층별현황(개요상)" sheetId="1" state="hidden" r:id="rId1"/>
    <sheet name="층별세부현황(용도 및 면적)" sheetId="2" r:id="rId2"/>
    <sheet name="임대공간(공장 및 편의시설) 면적표" sheetId="5" r:id="rId3"/>
    <sheet name="사용료 계산" sheetId="3" r:id="rId4"/>
    <sheet name="공유재산업무편람" sheetId="4" r:id="rId5"/>
    <sheet name="층별 월임대료 및 보증금 계산" sheetId="6" r:id="rId6"/>
  </sheets>
  <definedNames>
    <definedName name="_xlnm.Print_Area" localSheetId="3">'사용료 계산'!$A$1:$E$45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H21" i="6" s="1"/>
  <c r="H13" i="6"/>
  <c r="H14" i="6"/>
  <c r="H15" i="6"/>
  <c r="H16" i="6"/>
  <c r="H17" i="6"/>
  <c r="H18" i="6"/>
  <c r="H19" i="6"/>
  <c r="H20" i="6"/>
  <c r="H22" i="6"/>
  <c r="H23" i="6"/>
  <c r="H24" i="6"/>
  <c r="H33" i="6"/>
  <c r="H34" i="6"/>
  <c r="H35" i="6"/>
  <c r="H36" i="6"/>
  <c r="H37" i="6"/>
  <c r="H38" i="6"/>
  <c r="H39" i="6"/>
  <c r="C40" i="6"/>
  <c r="E40" i="6"/>
  <c r="B40" i="6"/>
  <c r="G4" i="6"/>
  <c r="H4" i="6" s="1"/>
  <c r="G5" i="6"/>
  <c r="H5" i="6" s="1"/>
  <c r="G13" i="6"/>
  <c r="G14" i="6"/>
  <c r="G15" i="6"/>
  <c r="G16" i="6"/>
  <c r="G17" i="6"/>
  <c r="G18" i="6"/>
  <c r="G19" i="6"/>
  <c r="G20" i="6"/>
  <c r="G22" i="6"/>
  <c r="G23" i="6"/>
  <c r="G24" i="6"/>
  <c r="G25" i="6"/>
  <c r="H25" i="6" s="1"/>
  <c r="G26" i="6"/>
  <c r="H26" i="6" s="1"/>
  <c r="G27" i="6"/>
  <c r="H27" i="6" s="1"/>
  <c r="G33" i="6"/>
  <c r="G34" i="6"/>
  <c r="G35" i="6"/>
  <c r="G36" i="6"/>
  <c r="G37" i="6"/>
  <c r="G38" i="6"/>
  <c r="G39" i="6"/>
  <c r="F4" i="6"/>
  <c r="F5" i="6"/>
  <c r="F6" i="6"/>
  <c r="G6" i="6" s="1"/>
  <c r="H6" i="6" s="1"/>
  <c r="F7" i="6"/>
  <c r="G7" i="6" s="1"/>
  <c r="H7" i="6" s="1"/>
  <c r="F8" i="6"/>
  <c r="G8" i="6" s="1"/>
  <c r="H8" i="6" s="1"/>
  <c r="F10" i="6"/>
  <c r="G10" i="6" s="1"/>
  <c r="H10" i="6" s="1"/>
  <c r="F11" i="6"/>
  <c r="G11" i="6" s="1"/>
  <c r="H11" i="6" s="1"/>
  <c r="F12" i="6"/>
  <c r="G12" i="6" s="1"/>
  <c r="H12" i="6" s="1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G28" i="6" s="1"/>
  <c r="H28" i="6" s="1"/>
  <c r="F29" i="6"/>
  <c r="G29" i="6" s="1"/>
  <c r="H29" i="6" s="1"/>
  <c r="F30" i="6"/>
  <c r="G30" i="6" s="1"/>
  <c r="H30" i="6" s="1"/>
  <c r="F31" i="6"/>
  <c r="G31" i="6" s="1"/>
  <c r="H31" i="6" s="1"/>
  <c r="F32" i="6"/>
  <c r="G32" i="6" s="1"/>
  <c r="H32" i="6" s="1"/>
  <c r="F33" i="6"/>
  <c r="F34" i="6"/>
  <c r="F35" i="6"/>
  <c r="F36" i="6"/>
  <c r="F37" i="6"/>
  <c r="F38" i="6"/>
  <c r="F39" i="6"/>
  <c r="F3" i="6"/>
  <c r="D4" i="6"/>
  <c r="D5" i="6"/>
  <c r="D6" i="6"/>
  <c r="D7" i="6"/>
  <c r="D8" i="6"/>
  <c r="D9" i="6"/>
  <c r="D40" i="6" s="1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3" i="6"/>
  <c r="F9" i="6" l="1"/>
  <c r="G9" i="6" s="1"/>
  <c r="H9" i="6" s="1"/>
  <c r="G3" i="6"/>
  <c r="F40" i="6" l="1"/>
  <c r="H3" i="6"/>
  <c r="G40" i="6"/>
  <c r="H40" i="6" s="1"/>
  <c r="E10" i="5" l="1"/>
  <c r="S5" i="5"/>
  <c r="E11" i="5" s="1"/>
  <c r="I10" i="2" l="1"/>
  <c r="J9" i="2"/>
  <c r="I9" i="2"/>
  <c r="J8" i="2"/>
  <c r="I8" i="2"/>
  <c r="J10" i="2"/>
  <c r="J7" i="2" l="1"/>
  <c r="I7" i="2"/>
  <c r="J6" i="2"/>
  <c r="I6" i="2"/>
  <c r="R23" i="1" l="1"/>
  <c r="R22" i="1"/>
  <c r="R21" i="1"/>
  <c r="E29" i="3" l="1"/>
  <c r="E20" i="3" l="1"/>
  <c r="B3" i="3"/>
  <c r="I16" i="3" s="1"/>
  <c r="K8" i="3" l="1"/>
  <c r="H7" i="2" l="1"/>
  <c r="J5" i="2"/>
  <c r="I8" i="3" s="1"/>
  <c r="I5" i="2"/>
  <c r="M8" i="3" s="1"/>
  <c r="G8" i="3" l="1"/>
  <c r="E8" i="3" s="1"/>
  <c r="A8" i="3" s="1"/>
  <c r="C11" i="3" s="1"/>
  <c r="H9" i="2"/>
  <c r="H8" i="2"/>
  <c r="H6" i="2"/>
  <c r="H10" i="2"/>
  <c r="D7" i="2"/>
  <c r="D27" i="2"/>
  <c r="D35" i="2"/>
  <c r="D45" i="2"/>
  <c r="D55" i="2"/>
  <c r="K16" i="3" l="1"/>
  <c r="D6" i="2"/>
  <c r="B4" i="3" s="1"/>
  <c r="E11" i="3" s="1"/>
  <c r="H5" i="2"/>
  <c r="M16" i="3" l="1"/>
  <c r="G16" i="3" s="1"/>
  <c r="E16" i="3" s="1"/>
  <c r="A16" i="3" s="1"/>
  <c r="C20" i="3" s="1"/>
  <c r="A20" i="3" s="1"/>
  <c r="E25" i="3" s="1"/>
  <c r="A11" i="3"/>
  <c r="C25" i="3" s="1"/>
  <c r="A25" i="3" l="1"/>
  <c r="C29" i="3" s="1"/>
  <c r="A29" i="3" s="1"/>
  <c r="C33" i="3" s="1"/>
  <c r="E33" i="3" s="1"/>
  <c r="L19" i="1"/>
  <c r="L18" i="1"/>
  <c r="L17" i="1"/>
  <c r="L21" i="1" s="1"/>
  <c r="L20" i="1"/>
  <c r="J20" i="1"/>
  <c r="A33" i="3" l="1"/>
  <c r="C35" i="3" s="1"/>
  <c r="S8" i="1"/>
  <c r="S7" i="1"/>
  <c r="S6" i="1"/>
  <c r="S5" i="1" s="1"/>
  <c r="J30" i="1"/>
  <c r="J29" i="1"/>
  <c r="J28" i="1"/>
  <c r="J27" i="1"/>
  <c r="J25" i="1"/>
  <c r="J24" i="1"/>
  <c r="J23" i="1"/>
  <c r="J22" i="1"/>
  <c r="J19" i="1"/>
  <c r="J18" i="1"/>
  <c r="J17" i="1"/>
  <c r="J15" i="1"/>
  <c r="J14" i="1"/>
  <c r="J13" i="1"/>
  <c r="J12" i="1"/>
  <c r="J11" i="1"/>
  <c r="J8" i="1"/>
  <c r="J9" i="1"/>
  <c r="J7" i="1"/>
  <c r="J6" i="1"/>
  <c r="J5" i="1"/>
  <c r="G26" i="1"/>
  <c r="G16" i="1"/>
  <c r="G10" i="1"/>
  <c r="G4" i="1"/>
  <c r="S4" i="1" s="1"/>
  <c r="S9" i="1" s="1"/>
  <c r="T9" i="1" s="1"/>
  <c r="C37" i="3" l="1"/>
  <c r="C44" i="3" s="1"/>
  <c r="C40" i="3"/>
  <c r="C4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제주도청</author>
  </authors>
  <commentList>
    <comment ref="S5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화장실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면적</t>
        </r>
        <r>
          <rPr>
            <b/>
            <sz val="9"/>
            <color indexed="81"/>
            <rFont val="Tahoma"/>
            <family val="2"/>
          </rPr>
          <t>(32.21</t>
        </r>
        <r>
          <rPr>
            <b/>
            <sz val="9"/>
            <color indexed="81"/>
            <rFont val="돋움"/>
            <family val="3"/>
            <charset val="129"/>
          </rPr>
          <t>㎡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</commentList>
</comments>
</file>

<file path=xl/sharedStrings.xml><?xml version="1.0" encoding="utf-8"?>
<sst xmlns="http://schemas.openxmlformats.org/spreadsheetml/2006/main" count="327" uniqueCount="216">
  <si>
    <t>용도</t>
  </si>
  <si>
    <t>세부용도</t>
  </si>
  <si>
    <t>면적(㎡)</t>
  </si>
  <si>
    <t>비고</t>
  </si>
  <si>
    <r>
      <t>공장</t>
    </r>
    <r>
      <rPr>
        <b/>
        <sz val="13"/>
        <color rgb="FF000000"/>
        <rFont val="맑은 고딕"/>
        <family val="3"/>
        <charset val="129"/>
        <scheme val="minor"/>
      </rPr>
      <t>(</t>
    </r>
    <r>
      <rPr>
        <b/>
        <sz val="13"/>
        <color rgb="FF000000"/>
        <rFont val="한양신명조"/>
        <family val="3"/>
        <charset val="129"/>
      </rPr>
      <t>지식산업센터</t>
    </r>
    <r>
      <rPr>
        <b/>
        <sz val="13"/>
        <color rgb="FF000000"/>
        <rFont val="맑은 고딕"/>
        <family val="3"/>
        <charset val="129"/>
        <scheme val="minor"/>
      </rPr>
      <t>)</t>
    </r>
  </si>
  <si>
    <t>소 계</t>
  </si>
  <si>
    <t>지</t>
  </si>
  <si>
    <t>하</t>
  </si>
  <si>
    <t>층</t>
  </si>
  <si>
    <t>산업시설</t>
  </si>
  <si>
    <t>입주공간</t>
  </si>
  <si>
    <t>대형(5)</t>
  </si>
  <si>
    <t>지원시설</t>
  </si>
  <si>
    <t>행정 및 관리시설</t>
  </si>
  <si>
    <t>회의실</t>
  </si>
  <si>
    <t>대회의실(1), 소회의실(2)</t>
  </si>
  <si>
    <t>공용시설</t>
  </si>
  <si>
    <t>기계,전기실등</t>
  </si>
  <si>
    <t>지하주차장</t>
  </si>
  <si>
    <t>상</t>
  </si>
  <si>
    <t>편의시설</t>
  </si>
  <si>
    <t>창업지원시설</t>
  </si>
  <si>
    <t>공용작업실</t>
  </si>
  <si>
    <t>카페</t>
  </si>
  <si>
    <t>기타</t>
  </si>
  <si>
    <t>대형(1),중형(1),소형(11)</t>
  </si>
  <si>
    <t>소회의실(4)</t>
  </si>
  <si>
    <t>휴게실(남)</t>
  </si>
  <si>
    <t>대형(1),중형(1),소형(10)</t>
  </si>
  <si>
    <t>소회의실(2)</t>
  </si>
  <si>
    <t>휴게실(여)</t>
  </si>
  <si>
    <t>대형(1),중형(1),소형(5)</t>
  </si>
  <si>
    <t>체력단련실</t>
  </si>
  <si>
    <t>도면 층별개요</t>
    <phoneticPr fontId="10" type="noConversion"/>
  </si>
  <si>
    <t>안맞음</t>
    <phoneticPr fontId="10" type="noConversion"/>
  </si>
  <si>
    <t>임대공간</t>
    <phoneticPr fontId="10" type="noConversion"/>
  </si>
  <si>
    <t>공장</t>
    <phoneticPr fontId="10" type="noConversion"/>
  </si>
  <si>
    <t>카페</t>
    <phoneticPr fontId="10" type="noConversion"/>
  </si>
  <si>
    <t>편의시설3개</t>
    <phoneticPr fontId="10" type="noConversion"/>
  </si>
  <si>
    <t>공용부분 수정(당초 568.19㎡ 변경 561.19㎡)</t>
    <phoneticPr fontId="10" type="noConversion"/>
  </si>
  <si>
    <t>연면적</t>
    <phoneticPr fontId="10" type="noConversion"/>
  </si>
  <si>
    <t>임대공간 외</t>
    <phoneticPr fontId="10" type="noConversion"/>
  </si>
  <si>
    <t>소계</t>
    <phoneticPr fontId="10" type="noConversion"/>
  </si>
  <si>
    <t>층별</t>
    <phoneticPr fontId="10" type="noConversion"/>
  </si>
  <si>
    <t>용도</t>
    <phoneticPr fontId="10" type="noConversion"/>
  </si>
  <si>
    <t>면적(㎡)</t>
    <phoneticPr fontId="10" type="noConversion"/>
  </si>
  <si>
    <t>비고</t>
    <phoneticPr fontId="10" type="noConversion"/>
  </si>
  <si>
    <t>지하1층</t>
    <phoneticPr fontId="10" type="noConversion"/>
  </si>
  <si>
    <t>지상1층</t>
    <phoneticPr fontId="10" type="noConversion"/>
  </si>
  <si>
    <t>지상2층</t>
    <phoneticPr fontId="10" type="noConversion"/>
  </si>
  <si>
    <t>지상3층</t>
    <phoneticPr fontId="10" type="noConversion"/>
  </si>
  <si>
    <t>지상4층</t>
    <phoneticPr fontId="10" type="noConversion"/>
  </si>
  <si>
    <t>체력단련실</t>
    <phoneticPr fontId="10" type="noConversion"/>
  </si>
  <si>
    <t>회의실</t>
    <phoneticPr fontId="10" type="noConversion"/>
  </si>
  <si>
    <t>창고</t>
    <phoneticPr fontId="10" type="noConversion"/>
  </si>
  <si>
    <t>탕비실</t>
    <phoneticPr fontId="10" type="noConversion"/>
  </si>
  <si>
    <t>분리수거</t>
    <phoneticPr fontId="10" type="noConversion"/>
  </si>
  <si>
    <t>발코니</t>
    <phoneticPr fontId="10" type="noConversion"/>
  </si>
  <si>
    <t>공용부분</t>
    <phoneticPr fontId="10" type="noConversion"/>
  </si>
  <si>
    <t>외부계단</t>
    <phoneticPr fontId="10" type="noConversion"/>
  </si>
  <si>
    <t>7개소(소형5, 중형1, 대형1)</t>
    <phoneticPr fontId="10" type="noConversion"/>
  </si>
  <si>
    <t>탈의,샤워실 포함</t>
    <phoneticPr fontId="10" type="noConversion"/>
  </si>
  <si>
    <t>A,B</t>
    <phoneticPr fontId="10" type="noConversion"/>
  </si>
  <si>
    <t>1개소</t>
    <phoneticPr fontId="10" type="noConversion"/>
  </si>
  <si>
    <t>면적산입부분</t>
    <phoneticPr fontId="10" type="noConversion"/>
  </si>
  <si>
    <t>복도,계단,화장실(외부계단제외)</t>
    <phoneticPr fontId="10" type="noConversion"/>
  </si>
  <si>
    <t>휴게실(여)</t>
    <phoneticPr fontId="10" type="noConversion"/>
  </si>
  <si>
    <t>용역원실</t>
    <phoneticPr fontId="10" type="noConversion"/>
  </si>
  <si>
    <t>12개소(소형10, 중형1,대형1)</t>
    <phoneticPr fontId="10" type="noConversion"/>
  </si>
  <si>
    <t>A,B,개방형</t>
    <phoneticPr fontId="10" type="noConversion"/>
  </si>
  <si>
    <t>여</t>
    <phoneticPr fontId="10" type="noConversion"/>
  </si>
  <si>
    <t>2개소</t>
    <phoneticPr fontId="10" type="noConversion"/>
  </si>
  <si>
    <t>남</t>
    <phoneticPr fontId="10" type="noConversion"/>
  </si>
  <si>
    <t>홀, 복도, 계단, 화장실, 개방형휴게공간</t>
    <phoneticPr fontId="10" type="noConversion"/>
  </si>
  <si>
    <t>13개소(소형11, 중형1, 대형1)</t>
    <phoneticPr fontId="10" type="noConversion"/>
  </si>
  <si>
    <t>A~D, 개방형</t>
    <phoneticPr fontId="10" type="noConversion"/>
  </si>
  <si>
    <t>공용작업실</t>
    <phoneticPr fontId="10" type="noConversion"/>
  </si>
  <si>
    <t>창업지원시설</t>
    <phoneticPr fontId="10" type="noConversion"/>
  </si>
  <si>
    <t>편의시설</t>
    <phoneticPr fontId="10" type="noConversion"/>
  </si>
  <si>
    <t>피로티면적산입부</t>
    <phoneticPr fontId="10" type="noConversion"/>
  </si>
  <si>
    <t>개방적 협업공간</t>
    <phoneticPr fontId="10" type="noConversion"/>
  </si>
  <si>
    <t>창업지원/입주기업지원센터(사무,회의,상담공간)</t>
    <phoneticPr fontId="10" type="noConversion"/>
  </si>
  <si>
    <t>금융기관, 편의점, 기업상담</t>
    <phoneticPr fontId="10" type="noConversion"/>
  </si>
  <si>
    <t>휴게음식점</t>
    <phoneticPr fontId="10" type="noConversion"/>
  </si>
  <si>
    <t>로비, 복도, 계단, 화장실</t>
    <phoneticPr fontId="10" type="noConversion"/>
  </si>
  <si>
    <t>행정및관리사무실</t>
    <phoneticPr fontId="10" type="noConversion"/>
  </si>
  <si>
    <t>대회의실</t>
    <phoneticPr fontId="10" type="noConversion"/>
  </si>
  <si>
    <t>지하주차장</t>
    <phoneticPr fontId="10" type="noConversion"/>
  </si>
  <si>
    <t>통신실</t>
    <phoneticPr fontId="10" type="noConversion"/>
  </si>
  <si>
    <t>제어반실</t>
    <phoneticPr fontId="10" type="noConversion"/>
  </si>
  <si>
    <t>공용창고</t>
    <phoneticPr fontId="10" type="noConversion"/>
  </si>
  <si>
    <t>소화펌프</t>
    <phoneticPr fontId="10" type="noConversion"/>
  </si>
  <si>
    <t>기계실</t>
    <phoneticPr fontId="10" type="noConversion"/>
  </si>
  <si>
    <t>전기실</t>
    <phoneticPr fontId="10" type="noConversion"/>
  </si>
  <si>
    <t>발전기실</t>
    <phoneticPr fontId="10" type="noConversion"/>
  </si>
  <si>
    <t>DA</t>
    <phoneticPr fontId="10" type="noConversion"/>
  </si>
  <si>
    <t>소화물탱크</t>
    <phoneticPr fontId="10" type="noConversion"/>
  </si>
  <si>
    <t>이끼정원</t>
    <phoneticPr fontId="10" type="noConversion"/>
  </si>
  <si>
    <t>면적제외부분</t>
    <phoneticPr fontId="10" type="noConversion"/>
  </si>
  <si>
    <t>공용</t>
    <phoneticPr fontId="10" type="noConversion"/>
  </si>
  <si>
    <r>
      <rPr>
        <sz val="11"/>
        <color theme="1"/>
        <rFont val="맑은 고딕"/>
        <family val="3"/>
        <charset val="129"/>
      </rPr>
      <t>Ο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층별 세부용도 및 면적표</t>
    </r>
    <phoneticPr fontId="10" type="noConversion"/>
  </si>
  <si>
    <t>소 계</t>
    <phoneticPr fontId="10" type="noConversion"/>
  </si>
  <si>
    <t>임대공간: 3,290.46㎡</t>
    <phoneticPr fontId="10" type="noConversion"/>
  </si>
  <si>
    <r>
      <rPr>
        <sz val="11"/>
        <color theme="1"/>
        <rFont val="맑은 고딕"/>
        <family val="3"/>
        <charset val="129"/>
      </rPr>
      <t>Ο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임대공간(공장 및 편의시설) 면적표</t>
    </r>
    <phoneticPr fontId="10" type="noConversion"/>
  </si>
  <si>
    <t>전용</t>
    <phoneticPr fontId="10" type="noConversion"/>
  </si>
  <si>
    <t>공용</t>
    <phoneticPr fontId="10" type="noConversion"/>
  </si>
  <si>
    <t>구분</t>
    <phoneticPr fontId="10" type="noConversion"/>
  </si>
  <si>
    <t>1층</t>
    <phoneticPr fontId="10" type="noConversion"/>
  </si>
  <si>
    <t>2층</t>
    <phoneticPr fontId="10" type="noConversion"/>
  </si>
  <si>
    <t>지1층</t>
    <phoneticPr fontId="10" type="noConversion"/>
  </si>
  <si>
    <t>3층</t>
    <phoneticPr fontId="10" type="noConversion"/>
  </si>
  <si>
    <t>4층</t>
    <phoneticPr fontId="10" type="noConversion"/>
  </si>
  <si>
    <t>계</t>
    <phoneticPr fontId="10" type="noConversion"/>
  </si>
  <si>
    <t>2호실</t>
  </si>
  <si>
    <t>3호실</t>
  </si>
  <si>
    <t>4호실</t>
  </si>
  <si>
    <t>5호실</t>
  </si>
  <si>
    <t>6호실</t>
  </si>
  <si>
    <t>7호실</t>
  </si>
  <si>
    <t>8호실</t>
  </si>
  <si>
    <t>9호실</t>
  </si>
  <si>
    <t>10호실</t>
  </si>
  <si>
    <t>11호실</t>
  </si>
  <si>
    <t>12호실</t>
  </si>
  <si>
    <t>13호실</t>
  </si>
  <si>
    <t>1호실</t>
  </si>
  <si>
    <t>편의점</t>
  </si>
  <si>
    <t>금융업소</t>
  </si>
  <si>
    <t>지하1층</t>
  </si>
  <si>
    <t>지상1층</t>
  </si>
  <si>
    <t>지상2층</t>
  </si>
  <si>
    <t>지상3층</t>
  </si>
  <si>
    <t>지상4층</t>
  </si>
  <si>
    <t>기업상담</t>
    <phoneticPr fontId="10" type="noConversion"/>
  </si>
  <si>
    <t>휴게음식점(카페)</t>
    <phoneticPr fontId="10" type="noConversion"/>
  </si>
  <si>
    <t>구분</t>
    <phoneticPr fontId="10" type="noConversion"/>
  </si>
  <si>
    <t>건물면적</t>
    <phoneticPr fontId="16" type="noConversion"/>
  </si>
  <si>
    <t>=</t>
    <phoneticPr fontId="16" type="noConversion"/>
  </si>
  <si>
    <t>전용면적</t>
    <phoneticPr fontId="16" type="noConversion"/>
  </si>
  <si>
    <t>+</t>
    <phoneticPr fontId="16" type="noConversion"/>
  </si>
  <si>
    <t>공용면적</t>
    <phoneticPr fontId="16" type="noConversion"/>
  </si>
  <si>
    <t>해당건물 총 공용면적</t>
    <phoneticPr fontId="16" type="noConversion"/>
  </si>
  <si>
    <t>x</t>
    <phoneticPr fontId="16" type="noConversion"/>
  </si>
  <si>
    <t>÷</t>
    <phoneticPr fontId="16" type="noConversion"/>
  </si>
  <si>
    <t>건물평가액</t>
    <phoneticPr fontId="16" type="noConversion"/>
  </si>
  <si>
    <t>부지면적</t>
    <phoneticPr fontId="16" type="noConversion"/>
  </si>
  <si>
    <t>"전용없음"</t>
    <phoneticPr fontId="16" type="noConversion"/>
  </si>
  <si>
    <t>**해당 건물 총
  공용면적</t>
    <phoneticPr fontId="16" type="noConversion"/>
  </si>
  <si>
    <t>부지평가액</t>
    <phoneticPr fontId="16" type="noConversion"/>
  </si>
  <si>
    <t>재산평가액</t>
    <phoneticPr fontId="16" type="noConversion"/>
  </si>
  <si>
    <r>
      <t>Ο</t>
    </r>
    <r>
      <rPr>
        <sz val="11"/>
        <color theme="1"/>
        <rFont val="맑은 고딕"/>
        <family val="2"/>
        <charset val="129"/>
      </rPr>
      <t xml:space="preserve"> 전용 및 공용면적(용천 작성)</t>
    </r>
    <phoneticPr fontId="10" type="noConversion"/>
  </si>
  <si>
    <t>2025.5.9.기준 작성</t>
    <phoneticPr fontId="10" type="noConversion"/>
  </si>
  <si>
    <t>대지면적</t>
    <phoneticPr fontId="10" type="noConversion"/>
  </si>
  <si>
    <t>연 면 적</t>
    <phoneticPr fontId="10" type="noConversion"/>
  </si>
  <si>
    <t>임대공간(공장)</t>
    <phoneticPr fontId="10" type="noConversion"/>
  </si>
  <si>
    <t>임대공간(편의시설 및 카페)</t>
    <phoneticPr fontId="10" type="noConversion"/>
  </si>
  <si>
    <t>해당 부지 내 건물 연면적</t>
    <phoneticPr fontId="16" type="noConversion"/>
  </si>
  <si>
    <t>사용허가(대부) 받은 자 건물면적(전용+공용)</t>
    <phoneticPr fontId="16" type="noConversion"/>
  </si>
  <si>
    <t>사용허가(대부) 받은 자  건물 전용면적</t>
    <phoneticPr fontId="16" type="noConversion"/>
  </si>
  <si>
    <t>*건물 공용면적</t>
    <phoneticPr fontId="16" type="noConversion"/>
  </si>
  <si>
    <t>*부지 공용면적</t>
    <phoneticPr fontId="16" type="noConversion"/>
  </si>
  <si>
    <t>해당건물 총 전용면적</t>
    <phoneticPr fontId="16" type="noConversion"/>
  </si>
  <si>
    <t>해당부지 총 공용면적</t>
    <phoneticPr fontId="16" type="noConversion"/>
  </si>
  <si>
    <t>원/월</t>
    <phoneticPr fontId="10" type="noConversion"/>
  </si>
  <si>
    <t>원/㎡</t>
    <phoneticPr fontId="10" type="noConversion"/>
  </si>
  <si>
    <t>「산업집적법」 상 감면(50%)</t>
    <phoneticPr fontId="10" type="noConversion"/>
  </si>
  <si>
    <t>대지면적(㎡)</t>
    <phoneticPr fontId="16" type="noConversion"/>
  </si>
  <si>
    <t>연면적(㎡)</t>
    <phoneticPr fontId="16" type="noConversion"/>
  </si>
  <si>
    <t>총 (연간)사용료</t>
    <phoneticPr fontId="16" type="noConversion"/>
  </si>
  <si>
    <t>총 (매월)사용료</t>
    <phoneticPr fontId="16" type="noConversion"/>
  </si>
  <si>
    <t xml:space="preserve"> *건립 중으로, 2025년 개별공시지가(임시) 적용</t>
    <phoneticPr fontId="16" type="noConversion"/>
  </si>
  <si>
    <t xml:space="preserve"> 원/㎡</t>
    <phoneticPr fontId="10" type="noConversion"/>
  </si>
  <si>
    <t xml:space="preserve"> *2025년 시가표준액이 없어 감정평가액 적용</t>
    <phoneticPr fontId="16" type="noConversion"/>
  </si>
  <si>
    <t>건물평가액</t>
    <phoneticPr fontId="10" type="noConversion"/>
  </si>
  <si>
    <t>+</t>
    <phoneticPr fontId="10" type="noConversion"/>
  </si>
  <si>
    <t>부지평가액</t>
    <phoneticPr fontId="10" type="noConversion"/>
  </si>
  <si>
    <t>재산평가액</t>
    <phoneticPr fontId="10" type="noConversion"/>
  </si>
  <si>
    <t>x</t>
    <phoneticPr fontId="10" type="noConversion"/>
  </si>
  <si>
    <t>최종 (연간)사용료</t>
    <phoneticPr fontId="16" type="noConversion"/>
  </si>
  <si>
    <t>사용료</t>
    <phoneticPr fontId="10" type="noConversion"/>
  </si>
  <si>
    <t>부가세(10%)</t>
    <phoneticPr fontId="10" type="noConversion"/>
  </si>
  <si>
    <t>산업</t>
    <phoneticPr fontId="10" type="noConversion"/>
  </si>
  <si>
    <t>지원</t>
    <phoneticPr fontId="10" type="noConversion"/>
  </si>
  <si>
    <t>공용</t>
    <phoneticPr fontId="10" type="noConversion"/>
  </si>
  <si>
    <t>지상1층(편의,창업지원,공용작업실,카페)</t>
    <phoneticPr fontId="10" type="noConversion"/>
  </si>
  <si>
    <t>원/년</t>
    <phoneticPr fontId="10" type="noConversion"/>
  </si>
  <si>
    <t>원/월</t>
  </si>
  <si>
    <t xml:space="preserve"> 2) 부지평가액(부지면적x개별공시지가)</t>
    <phoneticPr fontId="10" type="noConversion"/>
  </si>
  <si>
    <t xml:space="preserve"> 1) 건물평가액(건물면적x시가표준액)</t>
    <phoneticPr fontId="10" type="noConversion"/>
  </si>
  <si>
    <t xml:space="preserve"> 3) 재산평가액(건물평가액 + 부지평가액)</t>
    <phoneticPr fontId="10" type="noConversion"/>
  </si>
  <si>
    <t>*사용요율</t>
    <phoneticPr fontId="10" type="noConversion"/>
  </si>
  <si>
    <r>
      <t xml:space="preserve"> *</t>
    </r>
    <r>
      <rPr>
        <sz val="11"/>
        <color theme="1"/>
        <rFont val="맑은 고딕"/>
        <family val="3"/>
        <charset val="129"/>
      </rPr>
      <t>「공유재산법」</t>
    </r>
    <r>
      <rPr>
        <sz val="11"/>
        <color theme="1"/>
        <rFont val="맑은 고딕"/>
        <family val="2"/>
        <charset val="129"/>
        <scheme val="minor"/>
      </rPr>
      <t>에 따른 기본요율 50/1000 적용</t>
    </r>
    <phoneticPr fontId="10" type="noConversion"/>
  </si>
  <si>
    <t>Ο 공유재산법에 따른 201호(지상2층) 사용료(임대료) 계산</t>
    <phoneticPr fontId="10" type="noConversion"/>
  </si>
  <si>
    <t>(매월) 면적 당 사용료(원/㎡)</t>
  </si>
  <si>
    <t>(매월) 면적 당 사용료(원/㎡)</t>
    <phoneticPr fontId="10" type="noConversion"/>
  </si>
  <si>
    <t>부지전용 없는경우 대지면적(8,812㎡) 그대로</t>
    <phoneticPr fontId="16" type="noConversion"/>
  </si>
  <si>
    <t xml:space="preserve"> 4) 연간사용료(재산평가액x사용요율)</t>
    <phoneticPr fontId="10" type="noConversion"/>
  </si>
  <si>
    <t xml:space="preserve"> 5) 산업집적법에 따른 최대50% 감면 적용 시 연간사용료(임대료)</t>
    <phoneticPr fontId="10" type="noConversion"/>
  </si>
  <si>
    <t>휴게실(남)</t>
    <phoneticPr fontId="10" type="noConversion"/>
  </si>
  <si>
    <t xml:space="preserve"> 원</t>
    <phoneticPr fontId="10" type="noConversion"/>
  </si>
  <si>
    <t>*시가표준액 (원/㎡)</t>
    <phoneticPr fontId="16" type="noConversion"/>
  </si>
  <si>
    <t>*개별공시지가 (원/㎡)</t>
    <phoneticPr fontId="16" type="noConversion"/>
  </si>
  <si>
    <t>*건물면적(전용+공용) 기준</t>
    <phoneticPr fontId="10" type="noConversion"/>
  </si>
  <si>
    <t>호 수</t>
  </si>
  <si>
    <r>
      <t>전용면적(m</t>
    </r>
    <r>
      <rPr>
        <b/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b/>
        <sz val="11"/>
        <color rgb="FF000000"/>
        <rFont val="맑은 고딕"/>
        <family val="3"/>
        <charset val="129"/>
        <scheme val="minor"/>
      </rPr>
      <t>)</t>
    </r>
  </si>
  <si>
    <r>
      <t>공용면적(m</t>
    </r>
    <r>
      <rPr>
        <b/>
        <vertAlign val="superscript"/>
        <sz val="11"/>
        <color rgb="FF000000"/>
        <rFont val="맑은 고딕"/>
        <family val="3"/>
        <charset val="129"/>
        <scheme val="minor"/>
      </rPr>
      <t>2</t>
    </r>
    <r>
      <rPr>
        <b/>
        <sz val="11"/>
        <color rgb="FF000000"/>
        <rFont val="맑은 고딕"/>
        <family val="3"/>
        <charset val="129"/>
        <scheme val="minor"/>
      </rPr>
      <t>)</t>
    </r>
  </si>
  <si>
    <t>임대면적(m2)
(전용+공용)</t>
    <phoneticPr fontId="10" type="noConversion"/>
  </si>
  <si>
    <t>m2 단가(원)</t>
    <phoneticPr fontId="10" type="noConversion"/>
  </si>
  <si>
    <t>월임대료(원)</t>
  </si>
  <si>
    <t>월임대료
(원단위절사)</t>
    <phoneticPr fontId="10" type="noConversion"/>
  </si>
  <si>
    <t>임대보증금(원)</t>
  </si>
  <si>
    <t>B101</t>
  </si>
  <si>
    <t>B102</t>
  </si>
  <si>
    <t>B103</t>
  </si>
  <si>
    <t>B104</t>
  </si>
  <si>
    <t>B105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</si>
</sst>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#,##0.0_ "/>
    <numFmt numFmtId="178" formatCode="0.0%"/>
    <numFmt numFmtId="179" formatCode="_-* #,##0.00_-;\-* #,##0.00_-;_-* &quot;-&quot;_-;_-@_-"/>
    <numFmt numFmtId="180" formatCode="#,##0_);[Red]\(#,##0\)"/>
    <numFmt numFmtId="181" formatCode="_-* #,##0.0_-;\-* #,##0.0_-;_-* &quot;-&quot;_-;_-@_-"/>
    <numFmt numFmtId="182" formatCode="_-* #,##0_-;\-* #,##0_-;_-* &quot;-&quot;??_-;_-@_-"/>
    <numFmt numFmtId="183" formatCode="[DBNum4][$-412]General"/>
    <numFmt numFmtId="184" formatCode="_-* #,##0.0_-;\-* #,##0.0_-;_-* &quot;-&quot;??_-;_-@_-"/>
    <numFmt numFmtId="185" formatCode="_-* #,##0.0_-;\-* #,##0.0_-;_-* &quot;-&quot;?_-;_-@_-"/>
    <numFmt numFmtId="186" formatCode="#,##0.0_);[Red]\(#,##0.0\)"/>
    <numFmt numFmtId="187" formatCode="#,##0.00_);[Red]\(#,##0.00\)"/>
    <numFmt numFmtId="188" formatCode="#,##0_ "/>
  </numFmts>
  <fonts count="27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3"/>
      <color rgb="FF000000"/>
      <name val="한양신명조"/>
      <family val="3"/>
      <charset val="129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3"/>
      <color rgb="FF000000"/>
      <name val="한양신명조"/>
      <family val="3"/>
      <charset val="129"/>
    </font>
    <font>
      <sz val="12"/>
      <color rgb="FF000000"/>
      <name val="한양신명조"/>
      <family val="3"/>
      <charset val="129"/>
    </font>
    <font>
      <b/>
      <sz val="12"/>
      <color rgb="FF000000"/>
      <name val="한양신명조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11"/>
      <color theme="1"/>
      <name val="맑은 고딕"/>
      <family val="3"/>
      <charset val="129"/>
    </font>
    <font>
      <b/>
      <sz val="15"/>
      <color theme="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vertAlign val="superscript"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FF3F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/>
      <right style="double">
        <color rgb="FF000000"/>
      </right>
      <top style="thick">
        <color rgb="FF000000"/>
      </top>
      <bottom style="double">
        <color rgb="FF000000"/>
      </bottom>
      <diagonal/>
    </border>
    <border>
      <left/>
      <right/>
      <top style="thick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double">
        <color rgb="FF000000"/>
      </right>
      <top style="dotted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uble">
        <color rgb="FF000000"/>
      </right>
      <top style="dotted">
        <color rgb="FF000000"/>
      </top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/>
      <right/>
      <top style="dotted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20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4" fontId="2" fillId="3" borderId="12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justify" vertical="center" wrapText="1"/>
    </xf>
    <xf numFmtId="0" fontId="5" fillId="4" borderId="18" xfId="0" applyFont="1" applyFill="1" applyBorder="1" applyAlignment="1">
      <alignment horizontal="justify" vertical="center" wrapText="1"/>
    </xf>
    <xf numFmtId="4" fontId="5" fillId="4" borderId="18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justify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justify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justify" vertical="center" wrapText="1"/>
    </xf>
    <xf numFmtId="0" fontId="2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4" fontId="5" fillId="0" borderId="37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justify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4" fontId="5" fillId="4" borderId="37" xfId="0" applyNumberFormat="1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5" borderId="0" xfId="0" applyFont="1" applyFill="1">
      <alignment vertical="center"/>
    </xf>
    <xf numFmtId="0" fontId="0" fillId="6" borderId="0" xfId="0" applyFill="1">
      <alignment vertical="center"/>
    </xf>
    <xf numFmtId="0" fontId="0" fillId="6" borderId="0" xfId="0" applyFont="1" applyFill="1">
      <alignment vertical="center"/>
    </xf>
    <xf numFmtId="178" fontId="0" fillId="0" borderId="0" xfId="2" applyNumberFormat="1" applyFont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3" xfId="0" applyBorder="1" applyAlignment="1">
      <alignment horizontal="center" vertical="center"/>
    </xf>
    <xf numFmtId="179" fontId="0" fillId="0" borderId="46" xfId="1" applyNumberFormat="1" applyFont="1" applyBorder="1">
      <alignment vertical="center"/>
    </xf>
    <xf numFmtId="0" fontId="0" fillId="0" borderId="43" xfId="0" applyFill="1" applyBorder="1" applyAlignment="1">
      <alignment horizontal="center" vertical="center"/>
    </xf>
    <xf numFmtId="177" fontId="12" fillId="0" borderId="43" xfId="0" applyNumberFormat="1" applyFont="1" applyBorder="1">
      <alignment vertical="center"/>
    </xf>
    <xf numFmtId="179" fontId="12" fillId="0" borderId="43" xfId="1" applyNumberFormat="1" applyFont="1" applyBorder="1">
      <alignment vertical="center"/>
    </xf>
    <xf numFmtId="176" fontId="12" fillId="0" borderId="43" xfId="0" applyNumberFormat="1" applyFont="1" applyBorder="1">
      <alignment vertical="center"/>
    </xf>
    <xf numFmtId="0" fontId="0" fillId="0" borderId="43" xfId="0" applyBorder="1">
      <alignment vertical="center"/>
    </xf>
    <xf numFmtId="0" fontId="15" fillId="0" borderId="0" xfId="0" applyFont="1" applyAlignment="1">
      <alignment horizontal="left" vertical="center"/>
    </xf>
    <xf numFmtId="179" fontId="0" fillId="0" borderId="43" xfId="1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79" fontId="12" fillId="0" borderId="43" xfId="1" applyNumberFormat="1" applyFont="1" applyBorder="1" applyAlignment="1">
      <alignment horizontal="center" vertical="center"/>
    </xf>
    <xf numFmtId="43" fontId="0" fillId="0" borderId="0" xfId="0" applyNumberFormat="1">
      <alignment vertical="center"/>
    </xf>
    <xf numFmtId="43" fontId="0" fillId="0" borderId="43" xfId="0" applyNumberFormat="1" applyBorder="1">
      <alignment vertical="center"/>
    </xf>
    <xf numFmtId="179" fontId="0" fillId="0" borderId="43" xfId="0" applyNumberFormat="1" applyBorder="1">
      <alignment vertical="center"/>
    </xf>
    <xf numFmtId="180" fontId="12" fillId="0" borderId="0" xfId="0" applyNumberFormat="1" applyFont="1" applyBorder="1" applyAlignment="1">
      <alignment horizontal="right" vertical="center"/>
    </xf>
    <xf numFmtId="180" fontId="0" fillId="0" borderId="0" xfId="0" applyNumberFormat="1" applyBorder="1" applyAlignment="1">
      <alignment horizontal="right" vertical="center"/>
    </xf>
    <xf numFmtId="0" fontId="0" fillId="0" borderId="0" xfId="0" applyBorder="1">
      <alignment vertical="center"/>
    </xf>
    <xf numFmtId="180" fontId="0" fillId="0" borderId="0" xfId="0" applyNumberFormat="1" applyBorder="1">
      <alignment vertical="center"/>
    </xf>
    <xf numFmtId="0" fontId="12" fillId="0" borderId="0" xfId="0" applyFont="1" applyBorder="1">
      <alignment vertical="center"/>
    </xf>
    <xf numFmtId="49" fontId="15" fillId="0" borderId="43" xfId="0" applyNumberFormat="1" applyFont="1" applyFill="1" applyBorder="1" applyAlignment="1">
      <alignment horizontal="center" vertical="center"/>
    </xf>
    <xf numFmtId="179" fontId="15" fillId="0" borderId="43" xfId="1" applyNumberFormat="1" applyFont="1" applyFill="1" applyBorder="1" applyAlignment="1">
      <alignment horizontal="right" vertical="center"/>
    </xf>
    <xf numFmtId="179" fontId="15" fillId="0" borderId="43" xfId="1" applyNumberFormat="1" applyFont="1" applyFill="1" applyBorder="1">
      <alignment vertical="center"/>
    </xf>
    <xf numFmtId="0" fontId="15" fillId="0" borderId="4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7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19" fillId="0" borderId="0" xfId="0" quotePrefix="1" applyFont="1" applyAlignment="1">
      <alignment horizontal="left" vertical="center"/>
    </xf>
    <xf numFmtId="43" fontId="12" fillId="0" borderId="43" xfId="0" applyNumberFormat="1" applyFont="1" applyBorder="1" applyAlignment="1">
      <alignment horizontal="center" vertical="center"/>
    </xf>
    <xf numFmtId="179" fontId="0" fillId="0" borderId="43" xfId="1" applyNumberFormat="1" applyFont="1" applyBorder="1" applyAlignment="1">
      <alignment horizontal="right" vertical="center"/>
    </xf>
    <xf numFmtId="43" fontId="12" fillId="0" borderId="43" xfId="0" applyNumberFormat="1" applyFont="1" applyBorder="1">
      <alignment vertical="center"/>
    </xf>
    <xf numFmtId="0" fontId="15" fillId="0" borderId="43" xfId="0" applyFon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0" xfId="1" applyFont="1" applyFill="1" applyAlignment="1">
      <alignment vertical="center"/>
    </xf>
    <xf numFmtId="0" fontId="0" fillId="0" borderId="0" xfId="0" applyFill="1" applyBorder="1" applyAlignment="1">
      <alignment vertical="center"/>
    </xf>
    <xf numFmtId="41" fontId="0" fillId="0" borderId="0" xfId="1" applyFont="1" applyFill="1" applyBorder="1" applyAlignment="1">
      <alignment vertical="center"/>
    </xf>
    <xf numFmtId="0" fontId="0" fillId="0" borderId="0" xfId="0" quotePrefix="1" applyFill="1" applyBorder="1" applyAlignment="1">
      <alignment vertical="center"/>
    </xf>
    <xf numFmtId="0" fontId="0" fillId="0" borderId="0" xfId="0" quotePrefix="1" applyFill="1" applyAlignment="1">
      <alignment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/>
    <xf numFmtId="0" fontId="0" fillId="9" borderId="0" xfId="0" applyFill="1" applyAlignment="1">
      <alignment horizontal="center" vertical="center"/>
    </xf>
    <xf numFmtId="0" fontId="13" fillId="0" borderId="0" xfId="0" applyFont="1" applyAlignment="1"/>
    <xf numFmtId="182" fontId="0" fillId="0" borderId="0" xfId="0" applyNumberFormat="1">
      <alignment vertical="center"/>
    </xf>
    <xf numFmtId="0" fontId="0" fillId="0" borderId="0" xfId="0" applyFill="1" applyAlignment="1">
      <alignment horizontal="center"/>
    </xf>
    <xf numFmtId="0" fontId="22" fillId="0" borderId="0" xfId="0" applyFont="1">
      <alignment vertical="center"/>
    </xf>
    <xf numFmtId="0" fontId="0" fillId="0" borderId="50" xfId="0" applyBorder="1" applyAlignment="1">
      <alignment horizontal="center"/>
    </xf>
    <xf numFmtId="181" fontId="0" fillId="0" borderId="50" xfId="1" applyNumberFormat="1" applyFont="1" applyBorder="1" applyAlignment="1"/>
    <xf numFmtId="0" fontId="0" fillId="0" borderId="0" xfId="0" quotePrefix="1">
      <alignment vertical="center"/>
    </xf>
    <xf numFmtId="0" fontId="12" fillId="8" borderId="0" xfId="0" applyFont="1" applyFill="1" applyAlignment="1">
      <alignment horizontal="center"/>
    </xf>
    <xf numFmtId="41" fontId="12" fillId="8" borderId="0" xfId="1" applyFont="1" applyFill="1" applyAlignment="1"/>
    <xf numFmtId="0" fontId="12" fillId="8" borderId="0" xfId="0" quotePrefix="1" applyFont="1" applyFill="1" applyAlignment="1"/>
    <xf numFmtId="0" fontId="12" fillId="5" borderId="0" xfId="0" applyFont="1" applyFill="1" applyAlignment="1">
      <alignment horizontal="center"/>
    </xf>
    <xf numFmtId="41" fontId="12" fillId="5" borderId="0" xfId="1" applyFont="1" applyFill="1" applyAlignment="1"/>
    <xf numFmtId="0" fontId="12" fillId="5" borderId="0" xfId="0" quotePrefix="1" applyFont="1" applyFill="1" applyAlignment="1"/>
    <xf numFmtId="0" fontId="0" fillId="9" borderId="0" xfId="0" applyFill="1" applyAlignment="1">
      <alignment horizontal="center"/>
    </xf>
    <xf numFmtId="41" fontId="0" fillId="9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182" fontId="12" fillId="5" borderId="0" xfId="0" applyNumberFormat="1" applyFont="1" applyFill="1" applyAlignment="1">
      <alignment horizontal="center" vertical="center"/>
    </xf>
    <xf numFmtId="182" fontId="12" fillId="5" borderId="0" xfId="0" applyNumberFormat="1" applyFont="1" applyFill="1">
      <alignment vertical="center"/>
    </xf>
    <xf numFmtId="182" fontId="0" fillId="0" borderId="0" xfId="0" applyNumberFormat="1" applyFill="1">
      <alignment vertical="center"/>
    </xf>
    <xf numFmtId="41" fontId="12" fillId="5" borderId="0" xfId="1" applyFont="1" applyFill="1" applyBorder="1" applyAlignment="1">
      <alignment horizontal="center" vertical="center"/>
    </xf>
    <xf numFmtId="43" fontId="12" fillId="5" borderId="0" xfId="0" applyNumberFormat="1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1" fillId="8" borderId="0" xfId="0" quotePrefix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1" applyNumberFormat="1" applyFont="1">
      <alignment vertical="center"/>
    </xf>
    <xf numFmtId="0" fontId="12" fillId="8" borderId="0" xfId="0" applyFont="1" applyFill="1">
      <alignment vertical="center"/>
    </xf>
    <xf numFmtId="41" fontId="12" fillId="8" borderId="0" xfId="1" applyFont="1" applyFill="1">
      <alignment vertical="center"/>
    </xf>
    <xf numFmtId="0" fontId="0" fillId="7" borderId="0" xfId="0" applyFill="1" applyBorder="1" applyAlignment="1">
      <alignment horizontal="center"/>
    </xf>
    <xf numFmtId="41" fontId="0" fillId="7" borderId="0" xfId="1" applyFont="1" applyFill="1" applyBorder="1" applyAlignment="1">
      <alignment horizontal="center" vertical="center"/>
    </xf>
    <xf numFmtId="0" fontId="0" fillId="7" borderId="0" xfId="0" quotePrefix="1" applyFill="1" applyBorder="1" applyAlignment="1">
      <alignment horizontal="center" vertical="center"/>
    </xf>
    <xf numFmtId="0" fontId="0" fillId="9" borderId="0" xfId="0" quotePrefix="1" applyFill="1" applyAlignment="1">
      <alignment horizontal="center" vertical="center"/>
    </xf>
    <xf numFmtId="0" fontId="23" fillId="0" borderId="0" xfId="0" quotePrefix="1" applyFont="1" applyAlignment="1">
      <alignment vertical="center"/>
    </xf>
    <xf numFmtId="0" fontId="12" fillId="7" borderId="0" xfId="0" applyFont="1" applyFill="1" applyBorder="1" applyAlignment="1">
      <alignment horizontal="center" vertical="center"/>
    </xf>
    <xf numFmtId="182" fontId="12" fillId="7" borderId="0" xfId="0" applyNumberFormat="1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182" fontId="12" fillId="9" borderId="0" xfId="0" applyNumberFormat="1" applyFont="1" applyFill="1" applyAlignment="1">
      <alignment horizontal="center" vertical="center"/>
    </xf>
    <xf numFmtId="0" fontId="12" fillId="5" borderId="0" xfId="0" quotePrefix="1" applyFont="1" applyFill="1" applyBorder="1" applyAlignment="1">
      <alignment horizontal="center" vertical="center"/>
    </xf>
    <xf numFmtId="0" fontId="0" fillId="0" borderId="0" xfId="0" quotePrefix="1" applyFill="1" applyAlignment="1">
      <alignment horizontal="left" vertical="center"/>
    </xf>
    <xf numFmtId="0" fontId="0" fillId="5" borderId="0" xfId="0" applyFill="1" applyAlignment="1"/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41" fontId="12" fillId="0" borderId="0" xfId="1" applyFont="1" applyFill="1" applyAlignment="1"/>
    <xf numFmtId="0" fontId="12" fillId="0" borderId="0" xfId="0" quotePrefix="1" applyFont="1" applyFill="1" applyAlignment="1"/>
    <xf numFmtId="0" fontId="0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82" fontId="15" fillId="0" borderId="0" xfId="0" applyNumberFormat="1" applyFont="1" applyFill="1" applyAlignment="1"/>
    <xf numFmtId="182" fontId="15" fillId="0" borderId="0" xfId="0" applyNumberFormat="1" applyFont="1" applyFill="1" applyBorder="1" applyAlignment="1">
      <alignment horizontal="center" vertical="center"/>
    </xf>
    <xf numFmtId="18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85" fontId="0" fillId="0" borderId="0" xfId="0" applyNumberFormat="1">
      <alignment vertical="center"/>
    </xf>
    <xf numFmtId="41" fontId="0" fillId="0" borderId="0" xfId="1" applyFont="1">
      <alignment vertical="center"/>
    </xf>
    <xf numFmtId="186" fontId="0" fillId="0" borderId="0" xfId="0" applyNumberFormat="1" applyBorder="1" applyAlignment="1">
      <alignment horizontal="right" vertical="center"/>
    </xf>
    <xf numFmtId="43" fontId="0" fillId="0" borderId="0" xfId="0" applyNumberFormat="1" applyBorder="1">
      <alignment vertical="center"/>
    </xf>
    <xf numFmtId="187" fontId="0" fillId="0" borderId="0" xfId="0" applyNumberFormat="1" applyBorder="1" applyAlignment="1">
      <alignment horizontal="right" vertical="center"/>
    </xf>
    <xf numFmtId="2" fontId="0" fillId="0" borderId="0" xfId="0" applyNumberFormat="1">
      <alignment vertical="center"/>
    </xf>
    <xf numFmtId="0" fontId="12" fillId="5" borderId="0" xfId="0" applyFont="1" applyFill="1">
      <alignment vertical="center"/>
    </xf>
    <xf numFmtId="0" fontId="24" fillId="10" borderId="43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 vertical="center" wrapText="1"/>
    </xf>
    <xf numFmtId="188" fontId="12" fillId="10" borderId="43" xfId="0" applyNumberFormat="1" applyFont="1" applyFill="1" applyBorder="1" applyAlignment="1">
      <alignment horizontal="center" vertical="center" wrapText="1"/>
    </xf>
    <xf numFmtId="188" fontId="24" fillId="10" borderId="43" xfId="0" applyNumberFormat="1" applyFont="1" applyFill="1" applyBorder="1" applyAlignment="1">
      <alignment horizontal="center" vertical="center" wrapText="1"/>
    </xf>
    <xf numFmtId="188" fontId="0" fillId="0" borderId="0" xfId="0" applyNumberFormat="1">
      <alignment vertical="center"/>
    </xf>
    <xf numFmtId="188" fontId="0" fillId="0" borderId="43" xfId="0" applyNumberFormat="1" applyBorder="1">
      <alignment vertical="center"/>
    </xf>
    <xf numFmtId="0" fontId="26" fillId="11" borderId="51" xfId="0" applyFont="1" applyFill="1" applyBorder="1" applyAlignment="1">
      <alignment horizontal="center" vertical="center" wrapText="1"/>
    </xf>
    <xf numFmtId="0" fontId="26" fillId="11" borderId="52" xfId="0" applyFont="1" applyFill="1" applyBorder="1" applyAlignment="1">
      <alignment horizontal="center" vertical="center" wrapText="1"/>
    </xf>
    <xf numFmtId="0" fontId="0" fillId="11" borderId="43" xfId="0" applyFill="1" applyBorder="1">
      <alignment vertical="center"/>
    </xf>
    <xf numFmtId="188" fontId="0" fillId="11" borderId="43" xfId="0" applyNumberFormat="1" applyFill="1" applyBorder="1">
      <alignment vertical="center"/>
    </xf>
    <xf numFmtId="0" fontId="26" fillId="12" borderId="51" xfId="0" applyFont="1" applyFill="1" applyBorder="1" applyAlignment="1">
      <alignment horizontal="center" vertical="center" wrapText="1"/>
    </xf>
    <xf numFmtId="0" fontId="26" fillId="12" borderId="52" xfId="0" applyFont="1" applyFill="1" applyBorder="1" applyAlignment="1">
      <alignment horizontal="center" vertical="center" wrapText="1"/>
    </xf>
    <xf numFmtId="0" fontId="0" fillId="12" borderId="43" xfId="0" applyFill="1" applyBorder="1">
      <alignment vertical="center"/>
    </xf>
    <xf numFmtId="188" fontId="0" fillId="12" borderId="43" xfId="0" applyNumberFormat="1" applyFill="1" applyBorder="1">
      <alignment vertical="center"/>
    </xf>
    <xf numFmtId="0" fontId="26" fillId="7" borderId="51" xfId="0" applyFont="1" applyFill="1" applyBorder="1" applyAlignment="1">
      <alignment horizontal="center" vertical="center" wrapText="1"/>
    </xf>
    <xf numFmtId="0" fontId="26" fillId="7" borderId="52" xfId="0" applyFont="1" applyFill="1" applyBorder="1" applyAlignment="1">
      <alignment horizontal="center" vertical="center" wrapText="1"/>
    </xf>
    <xf numFmtId="0" fontId="0" fillId="7" borderId="43" xfId="0" applyFill="1" applyBorder="1">
      <alignment vertical="center"/>
    </xf>
    <xf numFmtId="188" fontId="0" fillId="7" borderId="43" xfId="0" applyNumberFormat="1" applyFill="1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3" fontId="0" fillId="0" borderId="0" xfId="0" quotePrefix="1" applyNumberFormat="1" applyAlignment="1">
      <alignment horizontal="left" vertical="center"/>
    </xf>
    <xf numFmtId="183" fontId="0" fillId="0" borderId="0" xfId="0" applyNumberFormat="1" applyAlignment="1">
      <alignment horizontal="left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7</xdr:col>
      <xdr:colOff>639296</xdr:colOff>
      <xdr:row>33</xdr:row>
      <xdr:rowOff>156753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76200"/>
          <a:ext cx="5306546" cy="699570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1"/>
  <sheetViews>
    <sheetView view="pageBreakPreview" zoomScale="85" zoomScaleNormal="100" zoomScaleSheetLayoutView="85" workbookViewId="0">
      <selection activeCell="Q18" sqref="Q18"/>
    </sheetView>
  </sheetViews>
  <sheetFormatPr defaultRowHeight="16.5"/>
  <cols>
    <col min="4" max="4" width="9" style="35"/>
    <col min="5" max="5" width="26" customWidth="1"/>
    <col min="6" max="6" width="28.25" customWidth="1"/>
    <col min="7" max="7" width="11.875" bestFit="1" customWidth="1"/>
    <col min="8" max="8" width="29.5" customWidth="1"/>
    <col min="10" max="10" width="13.75" hidden="1" customWidth="1"/>
    <col min="11" max="12" width="0" hidden="1" customWidth="1"/>
    <col min="13" max="13" width="12.125" hidden="1" customWidth="1"/>
    <col min="14" max="16" width="0" hidden="1" customWidth="1"/>
    <col min="17" max="17" width="11.625" customWidth="1"/>
    <col min="18" max="18" width="12.125" bestFit="1" customWidth="1"/>
    <col min="19" max="19" width="11.25" customWidth="1"/>
  </cols>
  <sheetData>
    <row r="1" spans="2:20" ht="17.25" thickBot="1"/>
    <row r="2" spans="2:20" ht="18" thickTop="1" thickBot="1">
      <c r="B2" s="181" t="s">
        <v>0</v>
      </c>
      <c r="C2" s="181"/>
      <c r="D2" s="181"/>
      <c r="E2" s="182"/>
      <c r="F2" s="2" t="s">
        <v>1</v>
      </c>
      <c r="G2" s="3" t="s">
        <v>2</v>
      </c>
      <c r="H2" s="1" t="s">
        <v>3</v>
      </c>
    </row>
    <row r="3" spans="2:20" ht="39" customHeight="1" thickTop="1">
      <c r="B3" s="183"/>
      <c r="C3" s="4"/>
      <c r="D3" s="186" t="s">
        <v>4</v>
      </c>
      <c r="E3" s="187"/>
      <c r="F3" s="6"/>
      <c r="G3" s="7">
        <v>8467.7000000000007</v>
      </c>
      <c r="H3" s="5"/>
    </row>
    <row r="4" spans="2:20" ht="19.5">
      <c r="B4" s="184"/>
      <c r="C4" s="188"/>
      <c r="D4" s="36"/>
      <c r="E4" s="8" t="s">
        <v>5</v>
      </c>
      <c r="F4" s="9"/>
      <c r="G4" s="10">
        <f>SUM(G5:G9)</f>
        <v>2677.68</v>
      </c>
      <c r="H4" s="8"/>
      <c r="J4" t="s">
        <v>33</v>
      </c>
      <c r="Q4" s="50" t="s">
        <v>40</v>
      </c>
      <c r="R4" s="51"/>
      <c r="S4" s="55">
        <f>G4+G10+G16+G21+G26</f>
        <v>8467.6999999999989</v>
      </c>
    </row>
    <row r="5" spans="2:20">
      <c r="B5" s="184"/>
      <c r="C5" s="189"/>
      <c r="D5" s="37" t="s">
        <v>6</v>
      </c>
      <c r="E5" s="11" t="s">
        <v>9</v>
      </c>
      <c r="F5" s="12" t="s">
        <v>10</v>
      </c>
      <c r="G5" s="13">
        <v>824.9</v>
      </c>
      <c r="H5" s="14" t="s">
        <v>11</v>
      </c>
      <c r="J5">
        <f>824.9</f>
        <v>824.9</v>
      </c>
      <c r="Q5" s="178" t="s">
        <v>35</v>
      </c>
      <c r="R5" s="52" t="s">
        <v>42</v>
      </c>
      <c r="S5" s="56">
        <f>SUM(S6:S8)</f>
        <v>3730.42</v>
      </c>
    </row>
    <row r="6" spans="2:20">
      <c r="B6" s="184"/>
      <c r="C6" s="189"/>
      <c r="D6" s="37" t="s">
        <v>7</v>
      </c>
      <c r="E6" s="191" t="s">
        <v>12</v>
      </c>
      <c r="F6" s="15" t="s">
        <v>13</v>
      </c>
      <c r="G6" s="16">
        <v>109.37</v>
      </c>
      <c r="H6" s="17"/>
      <c r="J6">
        <f>109.37</f>
        <v>109.37</v>
      </c>
      <c r="Q6" s="179"/>
      <c r="R6" s="52" t="s">
        <v>36</v>
      </c>
      <c r="S6" s="53">
        <f>G5+G17+G22+G27</f>
        <v>3290.46</v>
      </c>
    </row>
    <row r="7" spans="2:20">
      <c r="B7" s="184"/>
      <c r="C7" s="189"/>
      <c r="D7" s="37">
        <v>1</v>
      </c>
      <c r="E7" s="192"/>
      <c r="F7" s="15" t="s">
        <v>14</v>
      </c>
      <c r="G7" s="16">
        <v>157.22999999999999</v>
      </c>
      <c r="H7" s="17" t="s">
        <v>15</v>
      </c>
      <c r="J7">
        <f>114.33+42.9</f>
        <v>157.22999999999999</v>
      </c>
      <c r="Q7" s="179"/>
      <c r="R7" s="52" t="s">
        <v>37</v>
      </c>
      <c r="S7" s="53">
        <f>G14</f>
        <v>297.08</v>
      </c>
    </row>
    <row r="8" spans="2:20">
      <c r="B8" s="184"/>
      <c r="C8" s="189"/>
      <c r="D8" s="37" t="s">
        <v>8</v>
      </c>
      <c r="E8" s="191" t="s">
        <v>16</v>
      </c>
      <c r="F8" s="15" t="s">
        <v>17</v>
      </c>
      <c r="G8" s="16">
        <v>925.06</v>
      </c>
      <c r="H8" s="17"/>
      <c r="J8">
        <f>427.12+12.58+7.14+6.8+5.94+74.87+24.6+182+118.73+46.79+18.49</f>
        <v>925.06000000000006</v>
      </c>
      <c r="Q8" s="180"/>
      <c r="R8" s="52" t="s">
        <v>38</v>
      </c>
      <c r="S8" s="53">
        <f>G11</f>
        <v>142.88</v>
      </c>
    </row>
    <row r="9" spans="2:20" ht="17.25" thickBot="1">
      <c r="B9" s="184"/>
      <c r="C9" s="189"/>
      <c r="D9" s="38"/>
      <c r="E9" s="193"/>
      <c r="F9" s="18" t="s">
        <v>18</v>
      </c>
      <c r="G9" s="19">
        <v>661.12</v>
      </c>
      <c r="H9" s="20"/>
      <c r="J9">
        <f>661.12</f>
        <v>661.12</v>
      </c>
      <c r="Q9" s="54" t="s">
        <v>41</v>
      </c>
      <c r="R9" s="51"/>
      <c r="S9" s="57">
        <f>S4-S5</f>
        <v>4737.2799999999988</v>
      </c>
      <c r="T9" s="49">
        <f>S9/S4</f>
        <v>0.55945298014809208</v>
      </c>
    </row>
    <row r="10" spans="2:20" ht="20.25" thickTop="1">
      <c r="B10" s="184"/>
      <c r="C10" s="189"/>
      <c r="D10" s="39"/>
      <c r="E10" s="21" t="s">
        <v>5</v>
      </c>
      <c r="F10" s="22"/>
      <c r="G10" s="23">
        <f>SUM(G11:G15)</f>
        <v>1264.19</v>
      </c>
      <c r="H10" s="24"/>
    </row>
    <row r="11" spans="2:20">
      <c r="B11" s="184"/>
      <c r="C11" s="189"/>
      <c r="D11" s="40" t="s">
        <v>6</v>
      </c>
      <c r="E11" s="194" t="s">
        <v>12</v>
      </c>
      <c r="F11" s="25" t="s">
        <v>20</v>
      </c>
      <c r="G11" s="26">
        <v>142.88</v>
      </c>
      <c r="H11" s="27"/>
      <c r="J11">
        <f>142.88</f>
        <v>142.88</v>
      </c>
    </row>
    <row r="12" spans="2:20">
      <c r="B12" s="184"/>
      <c r="C12" s="189"/>
      <c r="D12" s="40" t="s">
        <v>19</v>
      </c>
      <c r="E12" s="195"/>
      <c r="F12" s="15" t="s">
        <v>21</v>
      </c>
      <c r="G12" s="16">
        <v>119.34</v>
      </c>
      <c r="H12" s="17"/>
      <c r="J12">
        <f>119.34</f>
        <v>119.34</v>
      </c>
    </row>
    <row r="13" spans="2:20">
      <c r="B13" s="184"/>
      <c r="C13" s="189"/>
      <c r="D13" s="40">
        <v>1</v>
      </c>
      <c r="E13" s="195"/>
      <c r="F13" s="15" t="s">
        <v>22</v>
      </c>
      <c r="G13" s="16">
        <v>107.64</v>
      </c>
      <c r="H13" s="17"/>
      <c r="J13">
        <f>107.64</f>
        <v>107.64</v>
      </c>
    </row>
    <row r="14" spans="2:20">
      <c r="B14" s="184"/>
      <c r="C14" s="189"/>
      <c r="D14" s="40" t="s">
        <v>8</v>
      </c>
      <c r="E14" s="192"/>
      <c r="F14" s="15" t="s">
        <v>23</v>
      </c>
      <c r="G14" s="16">
        <v>297.08</v>
      </c>
      <c r="H14" s="17"/>
      <c r="J14">
        <f>297.08</f>
        <v>297.08</v>
      </c>
    </row>
    <row r="15" spans="2:20" ht="17.25" thickBot="1">
      <c r="B15" s="184"/>
      <c r="C15" s="189"/>
      <c r="D15" s="41"/>
      <c r="E15" s="28" t="s">
        <v>16</v>
      </c>
      <c r="F15" s="18" t="s">
        <v>24</v>
      </c>
      <c r="G15" s="19">
        <v>597.25</v>
      </c>
      <c r="H15" s="20"/>
      <c r="J15">
        <f>291.7+18.49+287.06</f>
        <v>597.25</v>
      </c>
    </row>
    <row r="16" spans="2:20" ht="20.25" thickTop="1">
      <c r="B16" s="184"/>
      <c r="C16" s="189"/>
      <c r="D16" s="42"/>
      <c r="E16" s="29" t="s">
        <v>5</v>
      </c>
      <c r="F16" s="30"/>
      <c r="G16" s="31">
        <f>SUM(G17:G20)</f>
        <v>1770.69</v>
      </c>
      <c r="H16" s="32"/>
    </row>
    <row r="17" spans="2:19">
      <c r="B17" s="184"/>
      <c r="C17" s="189"/>
      <c r="D17" s="43" t="s">
        <v>6</v>
      </c>
      <c r="E17" s="11" t="s">
        <v>9</v>
      </c>
      <c r="F17" s="12" t="s">
        <v>10</v>
      </c>
      <c r="G17" s="13">
        <v>974.06</v>
      </c>
      <c r="H17" s="14" t="s">
        <v>25</v>
      </c>
      <c r="J17">
        <f>974.06</f>
        <v>974.06</v>
      </c>
      <c r="L17">
        <f>974.06</f>
        <v>974.06</v>
      </c>
    </row>
    <row r="18" spans="2:19">
      <c r="B18" s="184"/>
      <c r="C18" s="189"/>
      <c r="D18" s="43" t="s">
        <v>19</v>
      </c>
      <c r="E18" s="191" t="s">
        <v>12</v>
      </c>
      <c r="F18" s="15" t="s">
        <v>14</v>
      </c>
      <c r="G18" s="16">
        <v>127.82</v>
      </c>
      <c r="H18" s="17" t="s">
        <v>26</v>
      </c>
      <c r="J18">
        <f>127.82</f>
        <v>127.82</v>
      </c>
      <c r="L18">
        <f>127.82</f>
        <v>127.82</v>
      </c>
    </row>
    <row r="19" spans="2:19">
      <c r="B19" s="184"/>
      <c r="C19" s="189"/>
      <c r="D19" s="43">
        <v>2</v>
      </c>
      <c r="E19" s="192"/>
      <c r="F19" s="15" t="s">
        <v>27</v>
      </c>
      <c r="G19" s="16">
        <v>32.44</v>
      </c>
      <c r="H19" s="17"/>
      <c r="J19">
        <f>32.44</f>
        <v>32.44</v>
      </c>
      <c r="L19">
        <f>32.44</f>
        <v>32.44</v>
      </c>
    </row>
    <row r="20" spans="2:19" ht="17.25" thickBot="1">
      <c r="B20" s="184"/>
      <c r="C20" s="189"/>
      <c r="D20" s="44" t="s">
        <v>8</v>
      </c>
      <c r="E20" s="28" t="s">
        <v>16</v>
      </c>
      <c r="F20" s="18" t="s">
        <v>24</v>
      </c>
      <c r="G20" s="19">
        <v>636.37</v>
      </c>
      <c r="H20" s="20"/>
      <c r="J20" s="46">
        <f>11.96+6.3+7.83+568.19+30.12+18.97</f>
        <v>643.37000000000012</v>
      </c>
      <c r="K20" s="46" t="s">
        <v>34</v>
      </c>
      <c r="L20" s="48">
        <f>11.96+6.3+7.83+561.19+30.12+18.97</f>
        <v>636.37000000000012</v>
      </c>
      <c r="M20" s="47" t="s">
        <v>39</v>
      </c>
      <c r="N20" s="47"/>
      <c r="O20" s="47"/>
      <c r="P20" s="47"/>
    </row>
    <row r="21" spans="2:19" ht="20.25" thickTop="1">
      <c r="B21" s="184"/>
      <c r="C21" s="189"/>
      <c r="D21" s="39"/>
      <c r="E21" s="21" t="s">
        <v>5</v>
      </c>
      <c r="F21" s="22"/>
      <c r="G21" s="23">
        <v>1631.21</v>
      </c>
      <c r="H21" s="24"/>
      <c r="L21">
        <f>SUM(L17:L20)</f>
        <v>1770.69</v>
      </c>
      <c r="Q21" t="s">
        <v>181</v>
      </c>
      <c r="R21" s="127">
        <f>G5+G17+G22+G27</f>
        <v>3290.46</v>
      </c>
    </row>
    <row r="22" spans="2:19">
      <c r="B22" s="184"/>
      <c r="C22" s="189"/>
      <c r="D22" s="40" t="s">
        <v>6</v>
      </c>
      <c r="E22" s="11" t="s">
        <v>9</v>
      </c>
      <c r="F22" s="25" t="s">
        <v>10</v>
      </c>
      <c r="G22" s="26">
        <v>911.15</v>
      </c>
      <c r="H22" s="27" t="s">
        <v>28</v>
      </c>
      <c r="J22">
        <f>911.15</f>
        <v>911.15</v>
      </c>
      <c r="Q22" t="s">
        <v>182</v>
      </c>
      <c r="R22" s="127">
        <f>SUM(G11:G14)</f>
        <v>666.94</v>
      </c>
      <c r="S22" t="s">
        <v>184</v>
      </c>
    </row>
    <row r="23" spans="2:19">
      <c r="B23" s="184"/>
      <c r="C23" s="189"/>
      <c r="D23" s="40" t="s">
        <v>19</v>
      </c>
      <c r="E23" s="191" t="s">
        <v>12</v>
      </c>
      <c r="F23" s="15" t="s">
        <v>14</v>
      </c>
      <c r="G23" s="16">
        <v>97.42</v>
      </c>
      <c r="H23" s="17" t="s">
        <v>29</v>
      </c>
      <c r="J23">
        <f>97.42</f>
        <v>97.42</v>
      </c>
      <c r="Q23" t="s">
        <v>183</v>
      </c>
      <c r="R23" s="127">
        <f>G6+G7+G8+G9+G15+G18+G19+G20+G23+G24+G25+G28+G29+G30</f>
        <v>4510.3</v>
      </c>
    </row>
    <row r="24" spans="2:19">
      <c r="B24" s="184"/>
      <c r="C24" s="189"/>
      <c r="D24" s="40">
        <v>3</v>
      </c>
      <c r="E24" s="192"/>
      <c r="F24" s="15" t="s">
        <v>30</v>
      </c>
      <c r="G24" s="16">
        <v>32.44</v>
      </c>
      <c r="H24" s="17"/>
      <c r="J24">
        <f>32.44</f>
        <v>32.44</v>
      </c>
    </row>
    <row r="25" spans="2:19" ht="20.25" thickBot="1">
      <c r="B25" s="184"/>
      <c r="C25" s="189"/>
      <c r="D25" s="45" t="s">
        <v>8</v>
      </c>
      <c r="E25" s="28" t="s">
        <v>16</v>
      </c>
      <c r="F25" s="18" t="s">
        <v>24</v>
      </c>
      <c r="G25" s="33">
        <v>590.20000000000005</v>
      </c>
      <c r="H25" s="20"/>
      <c r="J25">
        <f>11.96+6.3+7.83+515.02+30.12+18.97</f>
        <v>590.20000000000005</v>
      </c>
    </row>
    <row r="26" spans="2:19" ht="20.25" thickTop="1">
      <c r="B26" s="184"/>
      <c r="C26" s="189"/>
      <c r="D26" s="42"/>
      <c r="E26" s="29" t="s">
        <v>5</v>
      </c>
      <c r="F26" s="30"/>
      <c r="G26" s="31">
        <f>SUM(G27:G30)</f>
        <v>1123.9299999999998</v>
      </c>
      <c r="H26" s="34"/>
    </row>
    <row r="27" spans="2:19">
      <c r="B27" s="184"/>
      <c r="C27" s="189"/>
      <c r="D27" s="43" t="s">
        <v>6</v>
      </c>
      <c r="E27" s="11" t="s">
        <v>9</v>
      </c>
      <c r="F27" s="12" t="s">
        <v>10</v>
      </c>
      <c r="G27" s="13">
        <v>580.35</v>
      </c>
      <c r="H27" s="14" t="s">
        <v>31</v>
      </c>
      <c r="J27">
        <f>580.35</f>
        <v>580.35</v>
      </c>
    </row>
    <row r="28" spans="2:19">
      <c r="B28" s="184"/>
      <c r="C28" s="189"/>
      <c r="D28" s="43" t="s">
        <v>19</v>
      </c>
      <c r="E28" s="191" t="s">
        <v>12</v>
      </c>
      <c r="F28" s="15" t="s">
        <v>14</v>
      </c>
      <c r="G28" s="16">
        <v>21.06</v>
      </c>
      <c r="H28" s="17" t="s">
        <v>29</v>
      </c>
      <c r="J28">
        <f>21.06</f>
        <v>21.06</v>
      </c>
    </row>
    <row r="29" spans="2:19">
      <c r="B29" s="184"/>
      <c r="C29" s="189"/>
      <c r="D29" s="43">
        <v>4</v>
      </c>
      <c r="E29" s="192"/>
      <c r="F29" s="15" t="s">
        <v>32</v>
      </c>
      <c r="G29" s="16">
        <v>126.67</v>
      </c>
      <c r="H29" s="17"/>
      <c r="J29">
        <f>126.67</f>
        <v>126.67</v>
      </c>
    </row>
    <row r="30" spans="2:19" ht="20.25" thickBot="1">
      <c r="B30" s="185"/>
      <c r="C30" s="190"/>
      <c r="D30" s="44" t="s">
        <v>8</v>
      </c>
      <c r="E30" s="28" t="s">
        <v>16</v>
      </c>
      <c r="F30" s="18" t="s">
        <v>24</v>
      </c>
      <c r="G30" s="33">
        <v>395.85</v>
      </c>
      <c r="H30" s="20"/>
      <c r="J30">
        <f>7.67+6.3+6.51+6.4+350+18.97</f>
        <v>395.85</v>
      </c>
    </row>
    <row r="31" spans="2:19" ht="17.25" thickTop="1"/>
  </sheetData>
  <mergeCells count="11">
    <mergeCell ref="Q5:Q8"/>
    <mergeCell ref="B2:E2"/>
    <mergeCell ref="B3:B30"/>
    <mergeCell ref="D3:E3"/>
    <mergeCell ref="C4:C30"/>
    <mergeCell ref="E6:E7"/>
    <mergeCell ref="E8:E9"/>
    <mergeCell ref="E11:E14"/>
    <mergeCell ref="E18:E19"/>
    <mergeCell ref="E23:E24"/>
    <mergeCell ref="E28:E29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C64"/>
  <sheetViews>
    <sheetView tabSelected="1" zoomScale="85" zoomScaleNormal="85" workbookViewId="0">
      <selection activeCell="H19" sqref="H19"/>
    </sheetView>
  </sheetViews>
  <sheetFormatPr defaultRowHeight="16.5"/>
  <cols>
    <col min="2" max="2" width="8.125" style="35" bestFit="1" customWidth="1"/>
    <col min="3" max="3" width="17.25" style="35" bestFit="1" customWidth="1"/>
    <col min="4" max="4" width="11" style="35" bestFit="1" customWidth="1"/>
    <col min="5" max="5" width="45.25" bestFit="1" customWidth="1"/>
    <col min="7" max="7" width="8.875" customWidth="1"/>
    <col min="8" max="10" width="11.125" bestFit="1" customWidth="1"/>
    <col min="11" max="11" width="9" customWidth="1"/>
    <col min="13" max="14" width="8.375" bestFit="1" customWidth="1"/>
    <col min="15" max="15" width="9.75" bestFit="1" customWidth="1"/>
    <col min="16" max="17" width="8.375" bestFit="1" customWidth="1"/>
    <col min="18" max="18" width="7.375" bestFit="1" customWidth="1"/>
    <col min="19" max="19" width="8.375" bestFit="1" customWidth="1"/>
    <col min="20" max="22" width="7.375" bestFit="1" customWidth="1"/>
    <col min="23" max="24" width="8.375" bestFit="1" customWidth="1"/>
    <col min="25" max="25" width="7.375" bestFit="1" customWidth="1"/>
    <col min="26" max="26" width="9" bestFit="1" customWidth="1"/>
    <col min="27" max="27" width="7.375" bestFit="1" customWidth="1"/>
    <col min="28" max="28" width="9" bestFit="1" customWidth="1"/>
    <col min="29" max="29" width="16.5" bestFit="1" customWidth="1"/>
  </cols>
  <sheetData>
    <row r="1" spans="2:29">
      <c r="B1" s="85" t="s">
        <v>151</v>
      </c>
    </row>
    <row r="2" spans="2:29">
      <c r="B2" s="84"/>
    </row>
    <row r="3" spans="2:29">
      <c r="B3" s="59" t="s">
        <v>100</v>
      </c>
      <c r="G3" s="83" t="s">
        <v>150</v>
      </c>
    </row>
    <row r="4" spans="2:29">
      <c r="B4" s="52" t="s">
        <v>43</v>
      </c>
      <c r="C4" s="52" t="s">
        <v>44</v>
      </c>
      <c r="D4" s="52" t="s">
        <v>45</v>
      </c>
      <c r="E4" s="52" t="s">
        <v>46</v>
      </c>
      <c r="G4" s="52" t="s">
        <v>106</v>
      </c>
      <c r="H4" s="54" t="s">
        <v>112</v>
      </c>
      <c r="I4" s="52" t="s">
        <v>104</v>
      </c>
      <c r="J4" s="52" t="s">
        <v>105</v>
      </c>
    </row>
    <row r="5" spans="2:29">
      <c r="B5" s="196" t="s">
        <v>152</v>
      </c>
      <c r="C5" s="197"/>
      <c r="D5" s="62">
        <v>8812</v>
      </c>
      <c r="E5" s="52"/>
      <c r="G5" s="89" t="s">
        <v>112</v>
      </c>
      <c r="H5" s="88">
        <f>SUM(H6:H10)</f>
        <v>8467.7000000000007</v>
      </c>
      <c r="I5" s="88">
        <f>SUM(I6:I10)</f>
        <v>4960.3399999999992</v>
      </c>
      <c r="J5" s="88">
        <f>SUM(J6:J10)</f>
        <v>3507.36</v>
      </c>
    </row>
    <row r="6" spans="2:29">
      <c r="B6" s="196" t="s">
        <v>153</v>
      </c>
      <c r="C6" s="197"/>
      <c r="D6" s="86">
        <f>D7+D27+D35+D45+D55</f>
        <v>8467.6999999999989</v>
      </c>
      <c r="E6" s="52" t="s">
        <v>102</v>
      </c>
      <c r="G6" s="52" t="s">
        <v>109</v>
      </c>
      <c r="H6" s="64">
        <f>I6+J6</f>
        <v>2677.6800000000003</v>
      </c>
      <c r="I6" s="64">
        <f>D8+D9+D10+D11+D14+D15+D18+D19+D20+D21+D22</f>
        <v>1558.21</v>
      </c>
      <c r="J6" s="65">
        <f>D12+D13+D16+D17+D23</f>
        <v>1119.47</v>
      </c>
    </row>
    <row r="7" spans="2:29">
      <c r="B7" s="178" t="s">
        <v>47</v>
      </c>
      <c r="C7" s="61" t="s">
        <v>101</v>
      </c>
      <c r="D7" s="62">
        <f>SUM(D8:D23)</f>
        <v>2677.6799999999994</v>
      </c>
      <c r="E7" s="52"/>
      <c r="G7" s="52" t="s">
        <v>107</v>
      </c>
      <c r="H7" s="64">
        <f>I7+J7</f>
        <v>1264.19</v>
      </c>
      <c r="I7" s="64">
        <f>D28+D29+D30+D31</f>
        <v>666.94</v>
      </c>
      <c r="J7" s="64">
        <f>D32+D33+D34</f>
        <v>597.25</v>
      </c>
    </row>
    <row r="8" spans="2:29">
      <c r="B8" s="179"/>
      <c r="C8" s="52" t="s">
        <v>35</v>
      </c>
      <c r="D8" s="60">
        <v>824.9</v>
      </c>
      <c r="E8" s="58"/>
      <c r="G8" s="52" t="s">
        <v>108</v>
      </c>
      <c r="H8" s="64">
        <f>I8+J8</f>
        <v>1770.69</v>
      </c>
      <c r="I8" s="64">
        <f>D36+D37+D41</f>
        <v>1109.7099999999998</v>
      </c>
      <c r="J8" s="64">
        <f>+D38+D39+D40+D42+D43+D44</f>
        <v>660.98000000000013</v>
      </c>
    </row>
    <row r="9" spans="2:29">
      <c r="B9" s="179"/>
      <c r="C9" s="52" t="s">
        <v>85</v>
      </c>
      <c r="D9" s="60">
        <v>109.37</v>
      </c>
      <c r="E9" s="58"/>
      <c r="G9" s="52" t="s">
        <v>110</v>
      </c>
      <c r="H9" s="64">
        <f>I9+J9</f>
        <v>1631.21</v>
      </c>
      <c r="I9" s="64">
        <f>D46+D47+D51</f>
        <v>1016.4</v>
      </c>
      <c r="J9" s="64">
        <f>+D48+D49+D50+D52+D53+D54</f>
        <v>614.81000000000006</v>
      </c>
    </row>
    <row r="10" spans="2:29">
      <c r="B10" s="179"/>
      <c r="C10" s="52" t="s">
        <v>86</v>
      </c>
      <c r="D10" s="60">
        <v>114.33</v>
      </c>
      <c r="E10" s="58"/>
      <c r="G10" s="52" t="s">
        <v>111</v>
      </c>
      <c r="H10" s="64">
        <f>I10+J10</f>
        <v>1123.9299999999998</v>
      </c>
      <c r="I10" s="64">
        <f>D56+D58+D59</f>
        <v>609.07999999999993</v>
      </c>
      <c r="J10" s="65">
        <f>D57+D60+D61+D62+D63+D64</f>
        <v>514.85</v>
      </c>
    </row>
    <row r="11" spans="2:29">
      <c r="B11" s="179"/>
      <c r="C11" s="52" t="s">
        <v>53</v>
      </c>
      <c r="D11" s="60">
        <v>42.9</v>
      </c>
      <c r="E11" s="58"/>
    </row>
    <row r="12" spans="2:29">
      <c r="B12" s="179"/>
      <c r="C12" s="52" t="s">
        <v>87</v>
      </c>
      <c r="D12" s="60">
        <v>661.12</v>
      </c>
      <c r="E12" s="58"/>
      <c r="H12" s="63"/>
    </row>
    <row r="13" spans="2:29">
      <c r="B13" s="179"/>
      <c r="C13" s="52" t="s">
        <v>58</v>
      </c>
      <c r="D13" s="60">
        <v>427.12</v>
      </c>
      <c r="E13" s="58" t="s">
        <v>73</v>
      </c>
    </row>
    <row r="14" spans="2:29">
      <c r="B14" s="179"/>
      <c r="C14" s="52" t="s">
        <v>88</v>
      </c>
      <c r="D14" s="60">
        <v>12.58</v>
      </c>
      <c r="E14" s="58"/>
      <c r="L14" s="66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</row>
    <row r="15" spans="2:29">
      <c r="B15" s="179"/>
      <c r="C15" s="52" t="s">
        <v>89</v>
      </c>
      <c r="D15" s="60">
        <v>7.14</v>
      </c>
      <c r="E15" s="58"/>
      <c r="L15" s="68"/>
      <c r="M15" s="68"/>
      <c r="N15" s="68"/>
      <c r="O15" s="68"/>
      <c r="P15" s="68"/>
      <c r="Q15" s="156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</row>
    <row r="16" spans="2:29">
      <c r="B16" s="179"/>
      <c r="C16" s="52" t="s">
        <v>56</v>
      </c>
      <c r="D16" s="60">
        <v>6.8</v>
      </c>
      <c r="E16" s="58"/>
      <c r="L16" s="66"/>
      <c r="M16" s="67"/>
      <c r="N16" s="67"/>
      <c r="O16" s="67"/>
      <c r="P16" s="155"/>
      <c r="Q16" s="15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</row>
    <row r="17" spans="2:29">
      <c r="B17" s="179"/>
      <c r="C17" s="52" t="s">
        <v>55</v>
      </c>
      <c r="D17" s="60">
        <v>5.94</v>
      </c>
      <c r="E17" s="58"/>
      <c r="L17" s="66"/>
      <c r="M17" s="67"/>
      <c r="N17" s="67"/>
      <c r="O17" s="67"/>
      <c r="P17" s="67"/>
      <c r="Q17" s="15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</row>
    <row r="18" spans="2:29">
      <c r="B18" s="179"/>
      <c r="C18" s="52" t="s">
        <v>90</v>
      </c>
      <c r="D18" s="60">
        <v>74.87</v>
      </c>
      <c r="E18" s="58" t="s">
        <v>99</v>
      </c>
      <c r="L18" s="66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pans="2:29">
      <c r="B19" s="179"/>
      <c r="C19" s="52" t="s">
        <v>91</v>
      </c>
      <c r="D19" s="60">
        <v>24.6</v>
      </c>
      <c r="E19" s="5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</row>
    <row r="20" spans="2:29">
      <c r="B20" s="179"/>
      <c r="C20" s="52" t="s">
        <v>92</v>
      </c>
      <c r="D20" s="60">
        <v>182</v>
      </c>
      <c r="E20" s="58"/>
      <c r="L20" s="66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pans="2:29">
      <c r="B21" s="179"/>
      <c r="C21" s="52" t="s">
        <v>93</v>
      </c>
      <c r="D21" s="60">
        <v>118.73</v>
      </c>
      <c r="E21" s="58"/>
      <c r="L21" s="66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pans="2:29">
      <c r="B22" s="179"/>
      <c r="C22" s="52" t="s">
        <v>94</v>
      </c>
      <c r="D22" s="60">
        <v>46.79</v>
      </c>
      <c r="E22" s="58"/>
      <c r="L22" s="66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pans="2:29">
      <c r="B23" s="179"/>
      <c r="C23" s="52" t="s">
        <v>59</v>
      </c>
      <c r="D23" s="60">
        <v>18.489999999999998</v>
      </c>
      <c r="E23" s="5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</row>
    <row r="24" spans="2:29">
      <c r="B24" s="179"/>
      <c r="C24" s="52" t="s">
        <v>95</v>
      </c>
      <c r="D24" s="60">
        <v>89.87</v>
      </c>
      <c r="E24" s="58" t="s">
        <v>98</v>
      </c>
      <c r="L24" s="66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2:29">
      <c r="B25" s="179"/>
      <c r="C25" s="52" t="s">
        <v>96</v>
      </c>
      <c r="D25" s="60">
        <v>20.399999999999999</v>
      </c>
      <c r="E25" s="58" t="s">
        <v>98</v>
      </c>
      <c r="L25" s="66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2:29">
      <c r="B26" s="180"/>
      <c r="C26" s="52" t="s">
        <v>97</v>
      </c>
      <c r="D26" s="60">
        <v>241.21</v>
      </c>
      <c r="E26" s="58" t="s">
        <v>98</v>
      </c>
      <c r="L26" s="66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</row>
    <row r="27" spans="2:29">
      <c r="B27" s="178" t="s">
        <v>48</v>
      </c>
      <c r="C27" s="61" t="s">
        <v>101</v>
      </c>
      <c r="D27" s="62">
        <f>SUM(D28:D34)</f>
        <v>1264.19</v>
      </c>
      <c r="E27" s="58"/>
      <c r="L27" s="70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</row>
    <row r="28" spans="2:29">
      <c r="B28" s="179"/>
      <c r="C28" s="52" t="s">
        <v>76</v>
      </c>
      <c r="D28" s="60">
        <v>107.64</v>
      </c>
      <c r="E28" s="58" t="s">
        <v>80</v>
      </c>
    </row>
    <row r="29" spans="2:29">
      <c r="B29" s="179"/>
      <c r="C29" s="52" t="s">
        <v>77</v>
      </c>
      <c r="D29" s="60">
        <v>119.34</v>
      </c>
      <c r="E29" s="58" t="s">
        <v>81</v>
      </c>
    </row>
    <row r="30" spans="2:29">
      <c r="B30" s="179"/>
      <c r="C30" s="52" t="s">
        <v>78</v>
      </c>
      <c r="D30" s="60">
        <v>142.88</v>
      </c>
      <c r="E30" s="58" t="s">
        <v>82</v>
      </c>
    </row>
    <row r="31" spans="2:29">
      <c r="B31" s="179"/>
      <c r="C31" s="52" t="s">
        <v>37</v>
      </c>
      <c r="D31" s="60">
        <v>297.08</v>
      </c>
      <c r="E31" s="58" t="s">
        <v>83</v>
      </c>
    </row>
    <row r="32" spans="2:29">
      <c r="B32" s="179"/>
      <c r="C32" s="52" t="s">
        <v>58</v>
      </c>
      <c r="D32" s="60">
        <v>291.7</v>
      </c>
      <c r="E32" s="58" t="s">
        <v>84</v>
      </c>
    </row>
    <row r="33" spans="2:5">
      <c r="B33" s="179"/>
      <c r="C33" s="52" t="s">
        <v>59</v>
      </c>
      <c r="D33" s="60">
        <v>18.489999999999998</v>
      </c>
      <c r="E33" s="58" t="s">
        <v>64</v>
      </c>
    </row>
    <row r="34" spans="2:5">
      <c r="B34" s="180"/>
      <c r="C34" s="52" t="s">
        <v>79</v>
      </c>
      <c r="D34" s="60">
        <v>287.06</v>
      </c>
      <c r="E34" s="58" t="s">
        <v>64</v>
      </c>
    </row>
    <row r="35" spans="2:5">
      <c r="B35" s="178" t="s">
        <v>49</v>
      </c>
      <c r="C35" s="61" t="s">
        <v>101</v>
      </c>
      <c r="D35" s="62">
        <f>SUM(D36:D44)</f>
        <v>1770.6899999999998</v>
      </c>
      <c r="E35" s="58"/>
    </row>
    <row r="36" spans="2:5">
      <c r="B36" s="179"/>
      <c r="C36" s="52" t="s">
        <v>35</v>
      </c>
      <c r="D36" s="60">
        <v>974.06</v>
      </c>
      <c r="E36" s="58" t="s">
        <v>74</v>
      </c>
    </row>
    <row r="37" spans="2:5">
      <c r="B37" s="179"/>
      <c r="C37" s="52" t="s">
        <v>53</v>
      </c>
      <c r="D37" s="60">
        <v>127.82</v>
      </c>
      <c r="E37" s="58" t="s">
        <v>75</v>
      </c>
    </row>
    <row r="38" spans="2:5">
      <c r="B38" s="179"/>
      <c r="C38" s="52" t="s">
        <v>198</v>
      </c>
      <c r="D38" s="60">
        <v>32.44</v>
      </c>
      <c r="E38" s="58" t="s">
        <v>72</v>
      </c>
    </row>
    <row r="39" spans="2:5">
      <c r="B39" s="179"/>
      <c r="C39" s="52" t="s">
        <v>55</v>
      </c>
      <c r="D39" s="60">
        <v>11.96</v>
      </c>
      <c r="E39" s="58" t="s">
        <v>71</v>
      </c>
    </row>
    <row r="40" spans="2:5">
      <c r="B40" s="179"/>
      <c r="C40" s="52" t="s">
        <v>56</v>
      </c>
      <c r="D40" s="60">
        <v>6.3</v>
      </c>
      <c r="E40" s="58"/>
    </row>
    <row r="41" spans="2:5">
      <c r="B41" s="179"/>
      <c r="C41" s="52" t="s">
        <v>67</v>
      </c>
      <c r="D41" s="60">
        <v>7.83</v>
      </c>
      <c r="E41" s="58" t="s">
        <v>70</v>
      </c>
    </row>
    <row r="42" spans="2:5">
      <c r="B42" s="179"/>
      <c r="C42" s="52" t="s">
        <v>58</v>
      </c>
      <c r="D42" s="60">
        <v>561.19000000000005</v>
      </c>
      <c r="E42" s="58" t="s">
        <v>73</v>
      </c>
    </row>
    <row r="43" spans="2:5">
      <c r="B43" s="179"/>
      <c r="C43" s="52" t="s">
        <v>57</v>
      </c>
      <c r="D43" s="60">
        <v>30.12</v>
      </c>
      <c r="E43" s="58" t="s">
        <v>64</v>
      </c>
    </row>
    <row r="44" spans="2:5">
      <c r="B44" s="180"/>
      <c r="C44" s="52" t="s">
        <v>59</v>
      </c>
      <c r="D44" s="60">
        <v>18.97</v>
      </c>
      <c r="E44" s="58" t="s">
        <v>64</v>
      </c>
    </row>
    <row r="45" spans="2:5">
      <c r="B45" s="178" t="s">
        <v>50</v>
      </c>
      <c r="C45" s="61" t="s">
        <v>101</v>
      </c>
      <c r="D45" s="62">
        <f>SUM(D46:D54)</f>
        <v>1631.2099999999998</v>
      </c>
      <c r="E45" s="58"/>
    </row>
    <row r="46" spans="2:5">
      <c r="B46" s="179"/>
      <c r="C46" s="52" t="s">
        <v>35</v>
      </c>
      <c r="D46" s="60">
        <v>911.15</v>
      </c>
      <c r="E46" s="58" t="s">
        <v>68</v>
      </c>
    </row>
    <row r="47" spans="2:5">
      <c r="B47" s="179"/>
      <c r="C47" s="52" t="s">
        <v>53</v>
      </c>
      <c r="D47" s="60">
        <v>97.42</v>
      </c>
      <c r="E47" s="58" t="s">
        <v>69</v>
      </c>
    </row>
    <row r="48" spans="2:5">
      <c r="B48" s="179"/>
      <c r="C48" s="52" t="s">
        <v>66</v>
      </c>
      <c r="D48" s="60">
        <v>32.44</v>
      </c>
      <c r="E48" s="58" t="s">
        <v>70</v>
      </c>
    </row>
    <row r="49" spans="2:5">
      <c r="B49" s="179"/>
      <c r="C49" s="52" t="s">
        <v>55</v>
      </c>
      <c r="D49" s="60">
        <v>11.96</v>
      </c>
      <c r="E49" s="58" t="s">
        <v>71</v>
      </c>
    </row>
    <row r="50" spans="2:5">
      <c r="B50" s="179"/>
      <c r="C50" s="52" t="s">
        <v>56</v>
      </c>
      <c r="D50" s="60">
        <v>6.3</v>
      </c>
      <c r="E50" s="58"/>
    </row>
    <row r="51" spans="2:5">
      <c r="B51" s="179"/>
      <c r="C51" s="52" t="s">
        <v>67</v>
      </c>
      <c r="D51" s="60">
        <v>7.83</v>
      </c>
      <c r="E51" s="58" t="s">
        <v>72</v>
      </c>
    </row>
    <row r="52" spans="2:5">
      <c r="B52" s="179"/>
      <c r="C52" s="52" t="s">
        <v>58</v>
      </c>
      <c r="D52" s="60">
        <v>515.02</v>
      </c>
      <c r="E52" s="58" t="s">
        <v>73</v>
      </c>
    </row>
    <row r="53" spans="2:5">
      <c r="B53" s="179"/>
      <c r="C53" s="52" t="s">
        <v>57</v>
      </c>
      <c r="D53" s="60">
        <v>30.12</v>
      </c>
      <c r="E53" s="58" t="s">
        <v>64</v>
      </c>
    </row>
    <row r="54" spans="2:5">
      <c r="B54" s="180"/>
      <c r="C54" s="52" t="s">
        <v>59</v>
      </c>
      <c r="D54" s="60">
        <v>18.97</v>
      </c>
      <c r="E54" s="58" t="s">
        <v>64</v>
      </c>
    </row>
    <row r="55" spans="2:5">
      <c r="B55" s="178" t="s">
        <v>51</v>
      </c>
      <c r="C55" s="61" t="s">
        <v>42</v>
      </c>
      <c r="D55" s="62">
        <f>SUM(D56:D64)</f>
        <v>1123.9299999999998</v>
      </c>
      <c r="E55" s="58"/>
    </row>
    <row r="56" spans="2:5">
      <c r="B56" s="179"/>
      <c r="C56" s="52" t="s">
        <v>35</v>
      </c>
      <c r="D56" s="60">
        <v>580.35</v>
      </c>
      <c r="E56" s="58" t="s">
        <v>60</v>
      </c>
    </row>
    <row r="57" spans="2:5">
      <c r="B57" s="179"/>
      <c r="C57" s="52" t="s">
        <v>52</v>
      </c>
      <c r="D57" s="60">
        <v>126.67</v>
      </c>
      <c r="E57" s="58" t="s">
        <v>61</v>
      </c>
    </row>
    <row r="58" spans="2:5">
      <c r="B58" s="179"/>
      <c r="C58" s="52" t="s">
        <v>53</v>
      </c>
      <c r="D58" s="60">
        <v>21.06</v>
      </c>
      <c r="E58" s="58" t="s">
        <v>62</v>
      </c>
    </row>
    <row r="59" spans="2:5">
      <c r="B59" s="179"/>
      <c r="C59" s="52" t="s">
        <v>54</v>
      </c>
      <c r="D59" s="60">
        <v>7.67</v>
      </c>
      <c r="E59" s="58"/>
    </row>
    <row r="60" spans="2:5">
      <c r="B60" s="179"/>
      <c r="C60" s="52" t="s">
        <v>55</v>
      </c>
      <c r="D60" s="60">
        <v>6.3</v>
      </c>
      <c r="E60" s="58" t="s">
        <v>63</v>
      </c>
    </row>
    <row r="61" spans="2:5">
      <c r="B61" s="179"/>
      <c r="C61" s="52" t="s">
        <v>56</v>
      </c>
      <c r="D61" s="60">
        <v>6.51</v>
      </c>
      <c r="E61" s="58"/>
    </row>
    <row r="62" spans="2:5">
      <c r="B62" s="179"/>
      <c r="C62" s="52" t="s">
        <v>58</v>
      </c>
      <c r="D62" s="60">
        <v>6.4</v>
      </c>
      <c r="E62" s="58" t="s">
        <v>65</v>
      </c>
    </row>
    <row r="63" spans="2:5">
      <c r="B63" s="179"/>
      <c r="C63" s="52" t="s">
        <v>57</v>
      </c>
      <c r="D63" s="60">
        <v>350</v>
      </c>
      <c r="E63" s="58" t="s">
        <v>64</v>
      </c>
    </row>
    <row r="64" spans="2:5">
      <c r="B64" s="180"/>
      <c r="C64" s="52" t="s">
        <v>59</v>
      </c>
      <c r="D64" s="60">
        <v>18.97</v>
      </c>
      <c r="E64" s="58" t="s">
        <v>64</v>
      </c>
    </row>
  </sheetData>
  <mergeCells count="7">
    <mergeCell ref="B5:C5"/>
    <mergeCell ref="B6:C6"/>
    <mergeCell ref="B55:B64"/>
    <mergeCell ref="B45:B54"/>
    <mergeCell ref="B35:B44"/>
    <mergeCell ref="B27:B34"/>
    <mergeCell ref="B7:B26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1"/>
  <sheetViews>
    <sheetView workbookViewId="0">
      <selection activeCell="N18" sqref="N18"/>
    </sheetView>
  </sheetViews>
  <sheetFormatPr defaultRowHeight="16.5"/>
  <cols>
    <col min="19" max="19" width="16.5" bestFit="1" customWidth="1"/>
  </cols>
  <sheetData>
    <row r="2" spans="2:19">
      <c r="B2" s="59" t="s">
        <v>103</v>
      </c>
    </row>
    <row r="3" spans="2:19">
      <c r="B3" s="74" t="s">
        <v>135</v>
      </c>
      <c r="C3" s="71" t="s">
        <v>125</v>
      </c>
      <c r="D3" s="71" t="s">
        <v>113</v>
      </c>
      <c r="E3" s="71" t="s">
        <v>114</v>
      </c>
      <c r="F3" s="71" t="s">
        <v>115</v>
      </c>
      <c r="G3" s="71" t="s">
        <v>116</v>
      </c>
      <c r="H3" s="71" t="s">
        <v>117</v>
      </c>
      <c r="I3" s="71" t="s">
        <v>118</v>
      </c>
      <c r="J3" s="71" t="s">
        <v>119</v>
      </c>
      <c r="K3" s="71" t="s">
        <v>120</v>
      </c>
      <c r="L3" s="71" t="s">
        <v>121</v>
      </c>
      <c r="M3" s="71" t="s">
        <v>122</v>
      </c>
      <c r="N3" s="71" t="s">
        <v>123</v>
      </c>
      <c r="O3" s="71" t="s">
        <v>124</v>
      </c>
      <c r="P3" s="71" t="s">
        <v>133</v>
      </c>
      <c r="Q3" s="71" t="s">
        <v>126</v>
      </c>
      <c r="R3" s="71" t="s">
        <v>127</v>
      </c>
      <c r="S3" s="71" t="s">
        <v>134</v>
      </c>
    </row>
    <row r="4" spans="2:19">
      <c r="B4" s="74" t="s">
        <v>128</v>
      </c>
      <c r="C4" s="72">
        <v>169.68</v>
      </c>
      <c r="D4" s="72">
        <v>167.61609999999999</v>
      </c>
      <c r="E4" s="72">
        <v>162.80000000000001</v>
      </c>
      <c r="F4" s="72">
        <v>162.4</v>
      </c>
      <c r="G4" s="72">
        <v>162.4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</row>
    <row r="5" spans="2:19">
      <c r="B5" s="74" t="s">
        <v>129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>
        <v>32.76</v>
      </c>
      <c r="Q5" s="72">
        <v>38.777299999999997</v>
      </c>
      <c r="R5" s="72">
        <v>71.34</v>
      </c>
      <c r="S5" s="72">
        <f>297.08+32.21</f>
        <v>329.28999999999996</v>
      </c>
    </row>
    <row r="6" spans="2:19">
      <c r="B6" s="74" t="s">
        <v>130</v>
      </c>
      <c r="C6" s="73">
        <v>63.7</v>
      </c>
      <c r="D6" s="73">
        <v>66.623800000000003</v>
      </c>
      <c r="E6" s="73">
        <v>65.52</v>
      </c>
      <c r="F6" s="73">
        <v>65.52</v>
      </c>
      <c r="G6" s="73">
        <v>65.52</v>
      </c>
      <c r="H6" s="73">
        <v>65.52</v>
      </c>
      <c r="I6" s="73">
        <v>86.58</v>
      </c>
      <c r="J6" s="73">
        <v>65.52</v>
      </c>
      <c r="K6" s="73">
        <v>65.52</v>
      </c>
      <c r="L6" s="73">
        <v>65.52</v>
      </c>
      <c r="M6" s="73">
        <v>65.52</v>
      </c>
      <c r="N6" s="73">
        <v>165.28290000000001</v>
      </c>
      <c r="O6" s="73">
        <v>67.709100000000007</v>
      </c>
      <c r="P6" s="73"/>
      <c r="Q6" s="73"/>
      <c r="R6" s="73"/>
      <c r="S6" s="73"/>
    </row>
    <row r="7" spans="2:19">
      <c r="B7" s="74" t="s">
        <v>131</v>
      </c>
      <c r="C7" s="73">
        <v>67.413600000000002</v>
      </c>
      <c r="D7" s="73">
        <v>65.52</v>
      </c>
      <c r="E7" s="73">
        <v>65.52</v>
      </c>
      <c r="F7" s="73">
        <v>65.52</v>
      </c>
      <c r="G7" s="73">
        <v>65.52</v>
      </c>
      <c r="H7" s="73">
        <v>86.58</v>
      </c>
      <c r="I7" s="73">
        <v>65.52</v>
      </c>
      <c r="J7" s="73">
        <v>65.52</v>
      </c>
      <c r="K7" s="73">
        <v>65.52</v>
      </c>
      <c r="L7" s="73">
        <v>65.52</v>
      </c>
      <c r="M7" s="73">
        <v>165.28290000000001</v>
      </c>
      <c r="N7" s="73">
        <v>67.709100000000007</v>
      </c>
      <c r="O7" s="73"/>
      <c r="P7" s="73"/>
      <c r="Q7" s="73"/>
      <c r="R7" s="73"/>
      <c r="S7" s="73"/>
    </row>
    <row r="8" spans="2:19">
      <c r="B8" s="74" t="s">
        <v>132</v>
      </c>
      <c r="C8" s="73">
        <v>68.84</v>
      </c>
      <c r="D8" s="73">
        <v>86.58</v>
      </c>
      <c r="E8" s="73">
        <v>65.52</v>
      </c>
      <c r="F8" s="73">
        <v>65.52</v>
      </c>
      <c r="G8" s="73">
        <v>65.52</v>
      </c>
      <c r="H8" s="73">
        <v>65.52</v>
      </c>
      <c r="I8" s="73">
        <v>162.85290000000001</v>
      </c>
      <c r="J8" s="73"/>
      <c r="K8" s="73"/>
      <c r="L8" s="73"/>
      <c r="M8" s="73"/>
      <c r="N8" s="73"/>
      <c r="O8" s="73"/>
      <c r="P8" s="73"/>
      <c r="Q8" s="73"/>
      <c r="R8" s="73"/>
      <c r="S8" s="73"/>
    </row>
    <row r="10" spans="2:19">
      <c r="B10" s="198" t="s">
        <v>154</v>
      </c>
      <c r="C10" s="198"/>
      <c r="D10" s="198"/>
      <c r="E10" s="87">
        <f>SUM(C4:O8)</f>
        <v>3290.4503999999997</v>
      </c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</row>
    <row r="11" spans="2:19">
      <c r="B11" s="198" t="s">
        <v>155</v>
      </c>
      <c r="C11" s="198"/>
      <c r="D11" s="198"/>
      <c r="E11" s="87">
        <f>SUM(P5:S5)</f>
        <v>472.16729999999995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</row>
  </sheetData>
  <mergeCells count="2">
    <mergeCell ref="B10:D10"/>
    <mergeCell ref="B11:D11"/>
  </mergeCells>
  <phoneticPr fontId="10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54"/>
  <sheetViews>
    <sheetView view="pageBreakPreview" topLeftCell="A9" zoomScale="85" zoomScaleNormal="115" zoomScaleSheetLayoutView="85" workbookViewId="0">
      <selection activeCell="G29" sqref="G29"/>
    </sheetView>
  </sheetViews>
  <sheetFormatPr defaultRowHeight="16.5"/>
  <cols>
    <col min="1" max="1" width="24.375" customWidth="1"/>
    <col min="2" max="2" width="12" customWidth="1"/>
    <col min="3" max="3" width="16.125" customWidth="1"/>
    <col min="4" max="4" width="12" customWidth="1"/>
    <col min="5" max="5" width="23.5" customWidth="1"/>
    <col min="6" max="6" width="9.5" bestFit="1" customWidth="1"/>
    <col min="7" max="7" width="21.875" customWidth="1"/>
    <col min="8" max="8" width="6" customWidth="1"/>
    <col min="9" max="9" width="22.375" bestFit="1" customWidth="1"/>
    <col min="10" max="10" width="2.875" bestFit="1" customWidth="1"/>
    <col min="11" max="11" width="40.25" customWidth="1"/>
    <col min="12" max="12" width="6.875" bestFit="1" customWidth="1"/>
    <col min="13" max="13" width="24.125" bestFit="1" customWidth="1"/>
    <col min="14" max="14" width="2.875" bestFit="1" customWidth="1"/>
    <col min="15" max="15" width="9.375" bestFit="1" customWidth="1"/>
    <col min="16" max="16" width="2.875" bestFit="1" customWidth="1"/>
  </cols>
  <sheetData>
    <row r="2" spans="1:17" ht="24">
      <c r="A2" s="104" t="s">
        <v>192</v>
      </c>
    </row>
    <row r="3" spans="1:17">
      <c r="A3" s="105" t="s">
        <v>166</v>
      </c>
      <c r="B3" s="106">
        <f>'층별세부현황(용도 및 면적)'!D5</f>
        <v>8812</v>
      </c>
      <c r="C3" s="107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5"/>
      <c r="P3" s="101"/>
      <c r="Q3" s="75"/>
    </row>
    <row r="4" spans="1:17">
      <c r="A4" s="105" t="s">
        <v>167</v>
      </c>
      <c r="B4" s="106">
        <f>'층별세부현황(용도 및 면적)'!D6</f>
        <v>8467.6999999999989</v>
      </c>
      <c r="C4" s="107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5"/>
      <c r="P4" s="75"/>
      <c r="Q4" s="75"/>
    </row>
    <row r="5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5"/>
      <c r="P5" s="75"/>
      <c r="Q5" s="75"/>
    </row>
    <row r="6" spans="1:17" ht="19.5">
      <c r="A6" s="134" t="s">
        <v>188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5"/>
      <c r="P6" s="75"/>
      <c r="Q6" s="75"/>
    </row>
    <row r="7" spans="1:17">
      <c r="A7" s="91" t="s">
        <v>136</v>
      </c>
      <c r="B7" s="91" t="s">
        <v>137</v>
      </c>
      <c r="C7" s="91" t="s">
        <v>138</v>
      </c>
      <c r="D7" s="91" t="s">
        <v>139</v>
      </c>
      <c r="E7" s="91" t="s">
        <v>140</v>
      </c>
      <c r="F7" s="76"/>
      <c r="G7" s="35" t="s">
        <v>159</v>
      </c>
      <c r="H7" s="35" t="s">
        <v>137</v>
      </c>
      <c r="I7" s="35" t="s">
        <v>141</v>
      </c>
      <c r="J7" s="35" t="s">
        <v>142</v>
      </c>
      <c r="K7" s="35" t="s">
        <v>158</v>
      </c>
      <c r="L7" s="35" t="s">
        <v>143</v>
      </c>
      <c r="M7" s="35" t="s">
        <v>161</v>
      </c>
      <c r="N7" s="76"/>
      <c r="O7" s="75"/>
      <c r="P7" s="75"/>
      <c r="Q7" s="75"/>
    </row>
    <row r="8" spans="1:17">
      <c r="A8" s="91">
        <f>C8+E8</f>
        <v>113.73</v>
      </c>
      <c r="B8" s="91"/>
      <c r="C8" s="91">
        <v>66.62</v>
      </c>
      <c r="D8" s="91"/>
      <c r="E8" s="91">
        <f>G8</f>
        <v>47.11</v>
      </c>
      <c r="F8" s="76"/>
      <c r="G8" s="35">
        <f>ROUND(I8*K8/M8,2)</f>
        <v>47.11</v>
      </c>
      <c r="H8" s="35" t="s">
        <v>137</v>
      </c>
      <c r="I8" s="90">
        <f>'층별세부현황(용도 및 면적)'!J5</f>
        <v>3507.36</v>
      </c>
      <c r="J8" s="35"/>
      <c r="K8" s="35">
        <f>C8</f>
        <v>66.62</v>
      </c>
      <c r="L8" s="35"/>
      <c r="M8" s="90">
        <f>'층별세부현황(용도 및 면적)'!I5</f>
        <v>4960.3399999999992</v>
      </c>
      <c r="N8" s="76"/>
      <c r="O8" s="75"/>
      <c r="P8" s="75"/>
      <c r="Q8" s="75"/>
    </row>
    <row r="9" spans="1:17">
      <c r="A9" s="76"/>
      <c r="B9" s="76"/>
      <c r="C9" s="76"/>
      <c r="D9" s="76"/>
      <c r="E9" s="76"/>
      <c r="F9" s="76"/>
      <c r="G9" s="35"/>
      <c r="H9" s="35"/>
      <c r="I9" s="35"/>
      <c r="J9" s="35"/>
      <c r="K9" s="35"/>
      <c r="L9" s="35"/>
      <c r="M9" s="35"/>
      <c r="N9" s="76"/>
      <c r="O9" s="75"/>
      <c r="P9" s="75"/>
      <c r="Q9" s="75"/>
    </row>
    <row r="10" spans="1:17">
      <c r="A10" s="135" t="s">
        <v>144</v>
      </c>
      <c r="B10" s="77" t="s">
        <v>137</v>
      </c>
      <c r="C10" s="130" t="s">
        <v>136</v>
      </c>
      <c r="D10" s="77" t="s">
        <v>142</v>
      </c>
      <c r="E10" s="132" t="s">
        <v>200</v>
      </c>
      <c r="J10" s="93"/>
      <c r="L10" s="76"/>
      <c r="M10" s="76"/>
      <c r="N10" s="76"/>
      <c r="O10" s="75"/>
      <c r="P10" s="75"/>
      <c r="Q10" s="75"/>
    </row>
    <row r="11" spans="1:17">
      <c r="A11" s="136">
        <f>C11*E11-1</f>
        <v>221773499.00000003</v>
      </c>
      <c r="B11" s="77"/>
      <c r="C11" s="130">
        <f>A8</f>
        <v>113.73</v>
      </c>
      <c r="D11" s="130"/>
      <c r="E11" s="131">
        <f>C12/B4</f>
        <v>1950000.0000000002</v>
      </c>
      <c r="J11" s="94"/>
      <c r="L11" s="76"/>
      <c r="M11" s="76"/>
      <c r="N11" s="76"/>
      <c r="O11" s="75"/>
      <c r="P11" s="75"/>
      <c r="Q11" s="75"/>
    </row>
    <row r="12" spans="1:17">
      <c r="A12" s="95" t="s">
        <v>172</v>
      </c>
      <c r="B12" s="76"/>
      <c r="C12" s="94">
        <v>16512015000</v>
      </c>
      <c r="D12" s="200" t="s">
        <v>199</v>
      </c>
      <c r="E12" s="201"/>
      <c r="F12" s="76"/>
      <c r="G12" s="76"/>
      <c r="H12" s="76"/>
      <c r="I12" s="76"/>
      <c r="J12" s="76"/>
      <c r="K12" s="76"/>
      <c r="L12" s="76"/>
      <c r="M12" s="76"/>
      <c r="N12" s="76"/>
      <c r="O12" s="75"/>
      <c r="P12" s="75"/>
      <c r="Q12" s="75"/>
    </row>
    <row r="13" spans="1:17">
      <c r="B13" s="94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5"/>
      <c r="P13" s="75"/>
      <c r="Q13" s="75"/>
    </row>
    <row r="14" spans="1:17" ht="19.5">
      <c r="A14" s="134" t="s">
        <v>187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5"/>
      <c r="P14" s="75"/>
      <c r="Q14" s="75"/>
    </row>
    <row r="15" spans="1:17">
      <c r="A15" s="91" t="s">
        <v>145</v>
      </c>
      <c r="B15" s="91" t="s">
        <v>137</v>
      </c>
      <c r="C15" s="91" t="s">
        <v>138</v>
      </c>
      <c r="D15" s="91" t="s">
        <v>139</v>
      </c>
      <c r="E15" s="91" t="s">
        <v>140</v>
      </c>
      <c r="F15" s="76"/>
      <c r="G15" s="81" t="s">
        <v>160</v>
      </c>
      <c r="H15" s="81" t="s">
        <v>137</v>
      </c>
      <c r="I15" s="81" t="s">
        <v>162</v>
      </c>
      <c r="J15" s="81" t="s">
        <v>142</v>
      </c>
      <c r="K15" s="81" t="s">
        <v>157</v>
      </c>
      <c r="L15" s="81" t="s">
        <v>143</v>
      </c>
      <c r="M15" s="81" t="s">
        <v>156</v>
      </c>
      <c r="N15" s="76"/>
      <c r="O15" s="75"/>
      <c r="P15" s="75"/>
      <c r="Q15" s="75"/>
    </row>
    <row r="16" spans="1:17">
      <c r="A16" s="91">
        <f>C16+E16</f>
        <v>118.35</v>
      </c>
      <c r="B16" s="91"/>
      <c r="C16" s="91">
        <v>0</v>
      </c>
      <c r="D16" s="91"/>
      <c r="E16" s="91">
        <f>G16</f>
        <v>118.35</v>
      </c>
      <c r="F16" s="76"/>
      <c r="G16" s="81">
        <f>ROUND(I16*K16/M16,2)</f>
        <v>118.35</v>
      </c>
      <c r="H16" s="81" t="s">
        <v>137</v>
      </c>
      <c r="I16" s="151">
        <f>B3</f>
        <v>8812</v>
      </c>
      <c r="J16" s="81"/>
      <c r="K16" s="81">
        <f>A8</f>
        <v>113.73</v>
      </c>
      <c r="L16" s="81"/>
      <c r="M16" s="97">
        <f>B4</f>
        <v>8467.6999999999989</v>
      </c>
      <c r="N16" s="76"/>
      <c r="O16" s="75"/>
      <c r="P16" s="75"/>
      <c r="Q16" s="75"/>
    </row>
    <row r="17" spans="1:17">
      <c r="A17" s="76"/>
      <c r="B17" s="76"/>
      <c r="C17" s="98" t="s">
        <v>146</v>
      </c>
      <c r="D17" s="76"/>
      <c r="E17" s="76"/>
      <c r="F17" s="76"/>
      <c r="G17" s="82"/>
      <c r="H17" s="35"/>
      <c r="I17" s="35"/>
      <c r="J17" s="35"/>
      <c r="K17" s="35"/>
      <c r="L17" s="35"/>
      <c r="M17" s="35"/>
      <c r="N17" s="76"/>
      <c r="O17" s="75"/>
      <c r="P17" s="75"/>
      <c r="Q17" s="75"/>
    </row>
    <row r="18" spans="1:17">
      <c r="A18" s="76"/>
      <c r="B18" s="76"/>
      <c r="C18" s="76"/>
      <c r="D18" s="76"/>
      <c r="E18" s="76"/>
      <c r="F18" s="76"/>
      <c r="G18" s="76" t="s">
        <v>147</v>
      </c>
      <c r="H18" s="35" t="s">
        <v>137</v>
      </c>
      <c r="I18" s="199" t="s">
        <v>195</v>
      </c>
      <c r="J18" s="199"/>
      <c r="K18" s="199"/>
      <c r="L18" s="76"/>
      <c r="M18" s="76"/>
      <c r="N18" s="76"/>
      <c r="O18" s="75"/>
      <c r="P18" s="75"/>
      <c r="Q18" s="75"/>
    </row>
    <row r="19" spans="1:17">
      <c r="A19" s="137" t="s">
        <v>148</v>
      </c>
      <c r="B19" s="100" t="s">
        <v>137</v>
      </c>
      <c r="C19" s="114" t="s">
        <v>145</v>
      </c>
      <c r="D19" s="100" t="s">
        <v>142</v>
      </c>
      <c r="E19" s="133" t="s">
        <v>201</v>
      </c>
      <c r="F19" s="76"/>
      <c r="G19" s="76"/>
      <c r="H19" s="76"/>
      <c r="I19" s="76"/>
      <c r="J19" s="76"/>
      <c r="K19" s="76"/>
      <c r="L19" s="76"/>
      <c r="M19" s="76"/>
      <c r="N19" s="76"/>
      <c r="O19" s="75"/>
      <c r="P19" s="75"/>
      <c r="Q19" s="75"/>
    </row>
    <row r="20" spans="1:17">
      <c r="A20" s="138">
        <f>C20*E20</f>
        <v>55683675</v>
      </c>
      <c r="B20" s="100"/>
      <c r="C20" s="114">
        <f>A16</f>
        <v>118.35</v>
      </c>
      <c r="D20" s="114"/>
      <c r="E20" s="115">
        <f>D21</f>
        <v>470500</v>
      </c>
      <c r="F20" s="78"/>
      <c r="H20" s="79"/>
      <c r="J20" s="79"/>
      <c r="L20" s="76"/>
      <c r="M20" s="76"/>
      <c r="N20" s="76"/>
      <c r="O20" s="75"/>
      <c r="P20" s="75"/>
      <c r="Q20" s="75"/>
    </row>
    <row r="21" spans="1:17">
      <c r="A21" s="96" t="s">
        <v>170</v>
      </c>
      <c r="B21" s="76"/>
      <c r="D21" s="92">
        <v>470500</v>
      </c>
      <c r="E21" t="s">
        <v>171</v>
      </c>
      <c r="F21" s="78"/>
      <c r="H21" s="79"/>
      <c r="J21" s="92"/>
      <c r="L21" s="76"/>
      <c r="M21" s="76"/>
      <c r="N21" s="76"/>
      <c r="O21" s="75"/>
      <c r="P21" s="75"/>
      <c r="Q21" s="75"/>
    </row>
    <row r="22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5"/>
      <c r="P22" s="75"/>
      <c r="Q22" s="75"/>
    </row>
    <row r="23" spans="1:17" ht="19.5">
      <c r="A23" s="134" t="s">
        <v>189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5"/>
      <c r="P23" s="75"/>
      <c r="Q23" s="75"/>
    </row>
    <row r="24" spans="1:17">
      <c r="A24" s="78" t="s">
        <v>149</v>
      </c>
      <c r="B24" s="103" t="s">
        <v>137</v>
      </c>
      <c r="C24" s="146" t="s">
        <v>173</v>
      </c>
      <c r="D24" s="147" t="s">
        <v>174</v>
      </c>
      <c r="E24" s="148" t="s">
        <v>175</v>
      </c>
      <c r="F24" s="76"/>
      <c r="G24" s="76"/>
      <c r="H24" s="76"/>
      <c r="I24" s="76"/>
      <c r="J24" s="76"/>
      <c r="K24" s="76"/>
      <c r="L24" s="76"/>
      <c r="M24" s="76"/>
      <c r="N24" s="76"/>
      <c r="O24" s="75"/>
      <c r="P24" s="75"/>
      <c r="Q24" s="75"/>
    </row>
    <row r="25" spans="1:17">
      <c r="A25" s="121">
        <f>C25+E25</f>
        <v>277457174</v>
      </c>
      <c r="B25" s="103"/>
      <c r="C25" s="149">
        <f>A11</f>
        <v>221773499.00000003</v>
      </c>
      <c r="D25" s="147"/>
      <c r="E25" s="150">
        <f>A20</f>
        <v>55683675</v>
      </c>
      <c r="F25" s="103"/>
      <c r="G25" s="102"/>
      <c r="H25" s="75"/>
      <c r="J25" s="75"/>
      <c r="K25" s="75"/>
      <c r="L25" s="75"/>
      <c r="M25" s="75"/>
      <c r="N25" s="76"/>
      <c r="O25" s="75"/>
      <c r="P25" s="75"/>
      <c r="Q25" s="75"/>
    </row>
    <row r="26" spans="1:17">
      <c r="A26" s="99"/>
      <c r="B26" s="116"/>
      <c r="D26" s="91"/>
      <c r="E26" s="91"/>
      <c r="F26" s="93"/>
      <c r="G26" s="75"/>
      <c r="H26" s="75"/>
      <c r="I26" s="75"/>
      <c r="J26" s="75"/>
      <c r="K26" s="75"/>
      <c r="L26" s="75"/>
      <c r="M26" s="75"/>
      <c r="N26" s="76"/>
      <c r="O26" s="75"/>
      <c r="P26" s="75"/>
      <c r="Q26" s="75"/>
    </row>
    <row r="27" spans="1:17" ht="19.5">
      <c r="A27" s="134" t="s">
        <v>196</v>
      </c>
      <c r="B27" s="116"/>
      <c r="D27" s="91"/>
      <c r="E27" s="91"/>
      <c r="F27" s="93"/>
      <c r="G27" s="75"/>
      <c r="H27" s="75"/>
      <c r="I27" s="75"/>
      <c r="J27" s="75"/>
      <c r="K27" s="75"/>
      <c r="L27" s="75"/>
      <c r="M27" s="75"/>
      <c r="N27" s="76"/>
      <c r="O27" s="75"/>
      <c r="P27" s="75"/>
      <c r="Q27" s="75"/>
    </row>
    <row r="28" spans="1:17">
      <c r="A28" s="117" t="s">
        <v>168</v>
      </c>
      <c r="B28" s="117" t="s">
        <v>137</v>
      </c>
      <c r="C28" s="117" t="s">
        <v>176</v>
      </c>
      <c r="D28" s="118" t="s">
        <v>177</v>
      </c>
      <c r="E28" s="139" t="s">
        <v>190</v>
      </c>
      <c r="F28" s="93"/>
      <c r="G28" s="75"/>
      <c r="H28" s="75"/>
      <c r="I28" s="75"/>
      <c r="J28" s="75"/>
      <c r="K28" s="75"/>
      <c r="L28" s="75"/>
      <c r="M28" s="75"/>
      <c r="N28" s="76"/>
      <c r="O28" s="75"/>
      <c r="P28" s="75"/>
      <c r="Q28" s="75"/>
    </row>
    <row r="29" spans="1:17">
      <c r="A29" s="123">
        <f>C29*E29</f>
        <v>13872858.700000001</v>
      </c>
      <c r="B29" s="111"/>
      <c r="C29" s="120">
        <f>A25</f>
        <v>277457174</v>
      </c>
      <c r="D29" s="118"/>
      <c r="E29" s="118">
        <f>50/1000</f>
        <v>0.05</v>
      </c>
      <c r="F29" s="91"/>
      <c r="G29" s="75"/>
      <c r="H29" s="75"/>
      <c r="I29" s="75"/>
      <c r="J29" s="75"/>
      <c r="K29" s="75"/>
      <c r="L29" s="75"/>
      <c r="M29" s="75"/>
      <c r="N29" s="76"/>
      <c r="O29" s="75"/>
      <c r="P29" s="75"/>
      <c r="Q29" s="75"/>
    </row>
    <row r="30" spans="1:17" s="116" customFormat="1">
      <c r="A30" s="140" t="s">
        <v>191</v>
      </c>
      <c r="B30" s="103"/>
      <c r="C30" s="121"/>
      <c r="D30" s="91"/>
      <c r="E30" s="91"/>
      <c r="F30" s="91"/>
      <c r="G30" s="80"/>
      <c r="H30" s="80"/>
      <c r="I30" s="80"/>
      <c r="J30" s="80"/>
      <c r="K30" s="80"/>
      <c r="L30" s="80"/>
      <c r="M30" s="80"/>
      <c r="N30" s="79"/>
      <c r="O30" s="80"/>
      <c r="P30" s="80"/>
      <c r="Q30" s="80"/>
    </row>
    <row r="31" spans="1:17" s="116" customFormat="1">
      <c r="A31" s="78"/>
      <c r="B31" s="103"/>
      <c r="C31" s="121"/>
      <c r="D31" s="91"/>
      <c r="E31" s="91"/>
      <c r="F31" s="91"/>
      <c r="G31" s="80"/>
      <c r="H31" s="80"/>
      <c r="I31" s="80"/>
      <c r="J31" s="80"/>
      <c r="K31" s="80"/>
      <c r="L31" s="80"/>
      <c r="M31" s="80"/>
      <c r="N31" s="79"/>
      <c r="O31" s="80"/>
      <c r="P31" s="80"/>
      <c r="Q31" s="80"/>
    </row>
    <row r="32" spans="1:17" s="116" customFormat="1">
      <c r="A32" s="117" t="s">
        <v>178</v>
      </c>
      <c r="B32" s="117" t="s">
        <v>137</v>
      </c>
      <c r="C32" s="117" t="s">
        <v>179</v>
      </c>
      <c r="D32" s="118" t="s">
        <v>174</v>
      </c>
      <c r="E32" s="118" t="s">
        <v>180</v>
      </c>
      <c r="F32" s="91"/>
      <c r="G32" s="80"/>
      <c r="H32" s="80"/>
      <c r="I32" s="80"/>
      <c r="J32" s="80"/>
      <c r="K32" s="80"/>
      <c r="L32" s="80"/>
      <c r="M32" s="80"/>
      <c r="N32" s="79"/>
      <c r="O32" s="80"/>
      <c r="P32" s="80"/>
      <c r="Q32" s="80"/>
    </row>
    <row r="33" spans="1:17" s="116" customFormat="1">
      <c r="A33" s="119">
        <f>ROUNDDOWN(C33+E33,-1)</f>
        <v>15260140</v>
      </c>
      <c r="B33" s="111"/>
      <c r="C33" s="120">
        <f>A29</f>
        <v>13872858.700000001</v>
      </c>
      <c r="D33" s="118"/>
      <c r="E33" s="122">
        <f>C33*0.1</f>
        <v>1387285.87</v>
      </c>
      <c r="F33" s="91"/>
      <c r="G33" s="80"/>
      <c r="H33" s="80"/>
      <c r="I33" s="80"/>
      <c r="J33" s="80"/>
      <c r="K33" s="80"/>
      <c r="L33" s="80"/>
      <c r="M33" s="80"/>
      <c r="N33" s="79"/>
      <c r="O33" s="80"/>
      <c r="P33" s="80"/>
      <c r="Q33" s="80"/>
    </row>
    <row r="34" spans="1:17"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5"/>
      <c r="P34" s="75"/>
      <c r="Q34" s="75"/>
    </row>
    <row r="35" spans="1:17">
      <c r="A35" s="117" t="s">
        <v>169</v>
      </c>
      <c r="B35" s="111" t="s">
        <v>137</v>
      </c>
      <c r="C35" s="112">
        <f>ROUNDDOWN(A33/12,-1)</f>
        <v>1271670</v>
      </c>
      <c r="D35" s="113" t="s">
        <v>163</v>
      </c>
      <c r="E35" s="141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1:17">
      <c r="A36" s="142"/>
      <c r="B36" s="143"/>
      <c r="C36" s="144"/>
      <c r="D36" s="145"/>
      <c r="E36" s="80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1:17">
      <c r="A37" s="117" t="s">
        <v>194</v>
      </c>
      <c r="B37" s="111" t="s">
        <v>137</v>
      </c>
      <c r="C37" s="112">
        <f>ROUNDDOWN(C35/A8,-1)</f>
        <v>11180</v>
      </c>
      <c r="D37" s="113" t="s">
        <v>164</v>
      </c>
      <c r="E37" s="159" t="s">
        <v>202</v>
      </c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</row>
    <row r="38" spans="1:17"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6"/>
      <c r="O38" s="75"/>
      <c r="P38" s="75"/>
      <c r="Q38" s="75"/>
    </row>
    <row r="39" spans="1:17" ht="19.5">
      <c r="A39" s="134" t="s">
        <v>197</v>
      </c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6"/>
      <c r="O39" s="75"/>
      <c r="P39" s="75"/>
      <c r="Q39" s="75"/>
    </row>
    <row r="40" spans="1:17">
      <c r="A40" s="124" t="s">
        <v>178</v>
      </c>
      <c r="B40" s="124" t="s">
        <v>137</v>
      </c>
      <c r="C40" s="129">
        <f>ROUNDDOWN(A33*0.5,-1)</f>
        <v>7630070</v>
      </c>
      <c r="D40" s="110" t="s">
        <v>185</v>
      </c>
      <c r="E40" s="125" t="s">
        <v>165</v>
      </c>
      <c r="F40" s="75"/>
      <c r="G40" s="75"/>
      <c r="H40" s="75"/>
      <c r="I40" s="75"/>
      <c r="J40" s="75"/>
      <c r="K40" s="75"/>
      <c r="L40" s="75"/>
      <c r="M40" s="75"/>
      <c r="N40" s="76"/>
      <c r="O40" s="75"/>
      <c r="P40" s="75"/>
      <c r="Q40" s="75"/>
    </row>
    <row r="41" spans="1:17"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6"/>
      <c r="O41" s="75"/>
      <c r="P41" s="75"/>
      <c r="Q41" s="75"/>
    </row>
    <row r="42" spans="1:17">
      <c r="A42" s="124" t="s">
        <v>169</v>
      </c>
      <c r="B42" s="108" t="s">
        <v>137</v>
      </c>
      <c r="C42" s="129">
        <f>ROUNDDOWN(C35*0.5,-1)</f>
        <v>635830</v>
      </c>
      <c r="D42" s="128" t="s">
        <v>186</v>
      </c>
      <c r="E42" s="125" t="s">
        <v>165</v>
      </c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43" spans="1:17">
      <c r="A43" s="126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</row>
    <row r="44" spans="1:17">
      <c r="A44" s="125" t="s">
        <v>193</v>
      </c>
      <c r="B44" s="108" t="s">
        <v>137</v>
      </c>
      <c r="C44" s="109">
        <f>ROUNDDOWN(C37/2,-1)</f>
        <v>5590</v>
      </c>
      <c r="D44" s="110" t="s">
        <v>164</v>
      </c>
      <c r="E44" s="125" t="s">
        <v>165</v>
      </c>
    </row>
    <row r="45" spans="1:17">
      <c r="A45" s="35"/>
      <c r="C45" s="63"/>
      <c r="D45" s="63"/>
    </row>
    <row r="47" spans="1:17">
      <c r="C47" s="153"/>
    </row>
    <row r="48" spans="1:17">
      <c r="C48" s="152"/>
      <c r="D48" s="152"/>
      <c r="E48" s="152"/>
      <c r="F48" s="152"/>
      <c r="G48" s="152"/>
      <c r="I48" s="152"/>
      <c r="K48" s="152"/>
    </row>
    <row r="49" spans="3:13">
      <c r="C49" s="154"/>
      <c r="D49" s="154"/>
      <c r="E49" s="154"/>
      <c r="F49" s="127"/>
      <c r="G49" s="154"/>
      <c r="I49" s="154"/>
      <c r="K49" s="154"/>
      <c r="L49" s="158"/>
      <c r="M49" s="153"/>
    </row>
    <row r="50" spans="3:13">
      <c r="C50" s="154"/>
      <c r="D50" s="154"/>
      <c r="E50" s="154"/>
      <c r="F50" s="127"/>
      <c r="G50" s="154"/>
      <c r="I50" s="154"/>
      <c r="K50" s="154"/>
      <c r="L50" s="158"/>
      <c r="M50" s="153"/>
    </row>
    <row r="51" spans="3:13">
      <c r="C51" s="154"/>
      <c r="D51" s="154"/>
      <c r="E51" s="154"/>
      <c r="F51" s="127"/>
      <c r="G51" s="154"/>
      <c r="I51" s="154"/>
      <c r="K51" s="154"/>
      <c r="L51" s="158"/>
      <c r="M51" s="153"/>
    </row>
    <row r="53" spans="3:13">
      <c r="M53" s="153"/>
    </row>
    <row r="54" spans="3:13">
      <c r="G54" s="153"/>
    </row>
  </sheetData>
  <mergeCells count="2">
    <mergeCell ref="I18:K18"/>
    <mergeCell ref="D12:E12"/>
  </mergeCells>
  <phoneticPr fontId="10" type="noConversion"/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view="pageBreakPreview" zoomScale="115" zoomScaleNormal="100" zoomScaleSheetLayoutView="115" workbookViewId="0">
      <selection activeCell="L9" sqref="L9"/>
    </sheetView>
  </sheetViews>
  <sheetFormatPr defaultRowHeight="16.5"/>
  <sheetData/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655C-A411-4549-954F-04EBC3D8B693}">
  <dimension ref="A2:H40"/>
  <sheetViews>
    <sheetView zoomScale="130" zoomScaleNormal="130" workbookViewId="0">
      <selection activeCell="D28" sqref="D28"/>
    </sheetView>
  </sheetViews>
  <sheetFormatPr defaultRowHeight="16.5"/>
  <cols>
    <col min="2" max="2" width="13.125" customWidth="1"/>
    <col min="3" max="3" width="12.75" customWidth="1"/>
    <col min="4" max="4" width="14.875" customWidth="1"/>
    <col min="5" max="5" width="10.875" customWidth="1"/>
    <col min="6" max="6" width="11.875" customWidth="1"/>
    <col min="7" max="7" width="13.125" customWidth="1"/>
    <col min="8" max="8" width="12.875" customWidth="1"/>
  </cols>
  <sheetData>
    <row r="2" spans="1:8" ht="33">
      <c r="A2" s="160" t="s">
        <v>203</v>
      </c>
      <c r="B2" s="160" t="s">
        <v>204</v>
      </c>
      <c r="C2" s="160" t="s">
        <v>205</v>
      </c>
      <c r="D2" s="161" t="s">
        <v>206</v>
      </c>
      <c r="E2" s="162" t="s">
        <v>207</v>
      </c>
      <c r="F2" s="163" t="s">
        <v>208</v>
      </c>
      <c r="G2" s="163" t="s">
        <v>209</v>
      </c>
      <c r="H2" s="163" t="s">
        <v>210</v>
      </c>
    </row>
    <row r="3" spans="1:8">
      <c r="A3" s="170" t="s">
        <v>211</v>
      </c>
      <c r="B3" s="170">
        <v>169.68</v>
      </c>
      <c r="C3" s="171">
        <v>119.98</v>
      </c>
      <c r="D3" s="172">
        <f>SUM(B3:C3)</f>
        <v>289.66000000000003</v>
      </c>
      <c r="E3" s="173">
        <v>3670</v>
      </c>
      <c r="F3" s="173">
        <f>D3*E3</f>
        <v>1063052.2000000002</v>
      </c>
      <c r="G3" s="173">
        <f>ROUNDDOWN(F3,-1)</f>
        <v>1063050</v>
      </c>
      <c r="H3" s="173">
        <f>G3*10</f>
        <v>10630500</v>
      </c>
    </row>
    <row r="4" spans="1:8">
      <c r="A4" s="170" t="s">
        <v>212</v>
      </c>
      <c r="B4" s="170">
        <v>167.62</v>
      </c>
      <c r="C4" s="171">
        <v>118.52</v>
      </c>
      <c r="D4" s="172">
        <f t="shared" ref="D4:D39" si="0">SUM(B4:C4)</f>
        <v>286.14</v>
      </c>
      <c r="E4" s="173">
        <v>3670</v>
      </c>
      <c r="F4" s="173">
        <f t="shared" ref="F4:F39" si="1">D4*E4</f>
        <v>1050133.8</v>
      </c>
      <c r="G4" s="173">
        <f t="shared" ref="G4:G39" si="2">ROUNDDOWN(F4,-1)</f>
        <v>1050130</v>
      </c>
      <c r="H4" s="173">
        <f t="shared" ref="H4:H40" si="3">G4*10</f>
        <v>10501300</v>
      </c>
    </row>
    <row r="5" spans="1:8">
      <c r="A5" s="170" t="s">
        <v>213</v>
      </c>
      <c r="B5" s="170">
        <v>162.80000000000001</v>
      </c>
      <c r="C5" s="171">
        <v>115.11</v>
      </c>
      <c r="D5" s="172">
        <f t="shared" si="0"/>
        <v>277.91000000000003</v>
      </c>
      <c r="E5" s="173">
        <v>3670</v>
      </c>
      <c r="F5" s="173">
        <f t="shared" si="1"/>
        <v>1019929.7000000001</v>
      </c>
      <c r="G5" s="173">
        <f t="shared" si="2"/>
        <v>1019920</v>
      </c>
      <c r="H5" s="173">
        <f t="shared" si="3"/>
        <v>10199200</v>
      </c>
    </row>
    <row r="6" spans="1:8">
      <c r="A6" s="170" t="s">
        <v>214</v>
      </c>
      <c r="B6" s="170">
        <v>162.4</v>
      </c>
      <c r="C6" s="171">
        <v>114.83</v>
      </c>
      <c r="D6" s="172">
        <f t="shared" si="0"/>
        <v>277.23</v>
      </c>
      <c r="E6" s="173">
        <v>3670</v>
      </c>
      <c r="F6" s="173">
        <f t="shared" si="1"/>
        <v>1017434.1000000001</v>
      </c>
      <c r="G6" s="173">
        <f t="shared" si="2"/>
        <v>1017430</v>
      </c>
      <c r="H6" s="173">
        <f t="shared" si="3"/>
        <v>10174300</v>
      </c>
    </row>
    <row r="7" spans="1:8">
      <c r="A7" s="170" t="s">
        <v>215</v>
      </c>
      <c r="B7" s="170">
        <v>162.4</v>
      </c>
      <c r="C7" s="171">
        <v>114.83</v>
      </c>
      <c r="D7" s="172">
        <f t="shared" si="0"/>
        <v>277.23</v>
      </c>
      <c r="E7" s="173">
        <v>3670</v>
      </c>
      <c r="F7" s="173">
        <f t="shared" si="1"/>
        <v>1017434.1000000001</v>
      </c>
      <c r="G7" s="173">
        <f t="shared" si="2"/>
        <v>1017430</v>
      </c>
      <c r="H7" s="173">
        <f t="shared" si="3"/>
        <v>10174300</v>
      </c>
    </row>
    <row r="8" spans="1:8">
      <c r="A8" s="174">
        <v>201</v>
      </c>
      <c r="B8" s="174">
        <v>63.7</v>
      </c>
      <c r="C8" s="175">
        <v>45.04</v>
      </c>
      <c r="D8" s="176">
        <f t="shared" si="0"/>
        <v>108.74000000000001</v>
      </c>
      <c r="E8" s="173">
        <v>3670</v>
      </c>
      <c r="F8" s="177">
        <f t="shared" si="1"/>
        <v>399075.80000000005</v>
      </c>
      <c r="G8" s="177">
        <f t="shared" si="2"/>
        <v>399070</v>
      </c>
      <c r="H8" s="177">
        <f t="shared" si="3"/>
        <v>3990700</v>
      </c>
    </row>
    <row r="9" spans="1:8">
      <c r="A9" s="174">
        <v>202</v>
      </c>
      <c r="B9" s="174">
        <v>66.62</v>
      </c>
      <c r="C9" s="175">
        <v>47.11</v>
      </c>
      <c r="D9" s="176">
        <f t="shared" si="0"/>
        <v>113.73</v>
      </c>
      <c r="E9" s="173">
        <v>3670</v>
      </c>
      <c r="F9" s="177">
        <f t="shared" si="1"/>
        <v>417389.10000000003</v>
      </c>
      <c r="G9" s="177">
        <f t="shared" si="2"/>
        <v>417380</v>
      </c>
      <c r="H9" s="177">
        <f t="shared" si="3"/>
        <v>4173800</v>
      </c>
    </row>
    <row r="10" spans="1:8">
      <c r="A10" s="174">
        <v>203</v>
      </c>
      <c r="B10" s="174">
        <v>65.52</v>
      </c>
      <c r="C10" s="175">
        <v>47.03</v>
      </c>
      <c r="D10" s="176">
        <f t="shared" si="0"/>
        <v>112.55</v>
      </c>
      <c r="E10" s="173">
        <v>3670</v>
      </c>
      <c r="F10" s="177">
        <f t="shared" si="1"/>
        <v>413058.5</v>
      </c>
      <c r="G10" s="177">
        <f t="shared" si="2"/>
        <v>413050</v>
      </c>
      <c r="H10" s="177">
        <f t="shared" si="3"/>
        <v>4130500</v>
      </c>
    </row>
    <row r="11" spans="1:8">
      <c r="A11" s="174">
        <v>204</v>
      </c>
      <c r="B11" s="174">
        <v>65.52</v>
      </c>
      <c r="C11" s="175">
        <v>47.03</v>
      </c>
      <c r="D11" s="176">
        <f t="shared" si="0"/>
        <v>112.55</v>
      </c>
      <c r="E11" s="173">
        <v>3670</v>
      </c>
      <c r="F11" s="177">
        <f t="shared" si="1"/>
        <v>413058.5</v>
      </c>
      <c r="G11" s="177">
        <f t="shared" si="2"/>
        <v>413050</v>
      </c>
      <c r="H11" s="177">
        <f t="shared" si="3"/>
        <v>4130500</v>
      </c>
    </row>
    <row r="12" spans="1:8">
      <c r="A12" s="174">
        <v>205</v>
      </c>
      <c r="B12" s="174">
        <v>65.52</v>
      </c>
      <c r="C12" s="175">
        <v>47.03</v>
      </c>
      <c r="D12" s="176">
        <f t="shared" si="0"/>
        <v>112.55</v>
      </c>
      <c r="E12" s="173">
        <v>3670</v>
      </c>
      <c r="F12" s="177">
        <f t="shared" si="1"/>
        <v>413058.5</v>
      </c>
      <c r="G12" s="177">
        <f t="shared" si="2"/>
        <v>413050</v>
      </c>
      <c r="H12" s="177">
        <f t="shared" si="3"/>
        <v>4130500</v>
      </c>
    </row>
    <row r="13" spans="1:8">
      <c r="A13" s="174">
        <v>206</v>
      </c>
      <c r="B13" s="174">
        <v>65.52</v>
      </c>
      <c r="C13" s="175">
        <v>47.03</v>
      </c>
      <c r="D13" s="176">
        <f t="shared" si="0"/>
        <v>112.55</v>
      </c>
      <c r="E13" s="173">
        <v>3670</v>
      </c>
      <c r="F13" s="177">
        <f t="shared" si="1"/>
        <v>413058.5</v>
      </c>
      <c r="G13" s="177">
        <f t="shared" si="2"/>
        <v>413050</v>
      </c>
      <c r="H13" s="177">
        <f t="shared" si="3"/>
        <v>4130500</v>
      </c>
    </row>
    <row r="14" spans="1:8">
      <c r="A14" s="174">
        <v>207</v>
      </c>
      <c r="B14" s="174">
        <v>86.58</v>
      </c>
      <c r="C14" s="175">
        <v>61.22</v>
      </c>
      <c r="D14" s="176">
        <f t="shared" si="0"/>
        <v>147.80000000000001</v>
      </c>
      <c r="E14" s="173">
        <v>3670</v>
      </c>
      <c r="F14" s="177">
        <f t="shared" si="1"/>
        <v>542426</v>
      </c>
      <c r="G14" s="177">
        <f t="shared" si="2"/>
        <v>542420</v>
      </c>
      <c r="H14" s="177">
        <f t="shared" si="3"/>
        <v>5424200</v>
      </c>
    </row>
    <row r="15" spans="1:8">
      <c r="A15" s="174">
        <v>208</v>
      </c>
      <c r="B15" s="174">
        <v>65.52</v>
      </c>
      <c r="C15" s="175">
        <v>47.03</v>
      </c>
      <c r="D15" s="176">
        <f t="shared" si="0"/>
        <v>112.55</v>
      </c>
      <c r="E15" s="173">
        <v>3670</v>
      </c>
      <c r="F15" s="177">
        <f t="shared" si="1"/>
        <v>413058.5</v>
      </c>
      <c r="G15" s="177">
        <f t="shared" si="2"/>
        <v>413050</v>
      </c>
      <c r="H15" s="177">
        <f t="shared" si="3"/>
        <v>4130500</v>
      </c>
    </row>
    <row r="16" spans="1:8">
      <c r="A16" s="174">
        <v>209</v>
      </c>
      <c r="B16" s="174">
        <v>65.52</v>
      </c>
      <c r="C16" s="175">
        <v>47.03</v>
      </c>
      <c r="D16" s="176">
        <f t="shared" si="0"/>
        <v>112.55</v>
      </c>
      <c r="E16" s="173">
        <v>3670</v>
      </c>
      <c r="F16" s="177">
        <f t="shared" si="1"/>
        <v>413058.5</v>
      </c>
      <c r="G16" s="177">
        <f t="shared" si="2"/>
        <v>413050</v>
      </c>
      <c r="H16" s="177">
        <f t="shared" si="3"/>
        <v>4130500</v>
      </c>
    </row>
    <row r="17" spans="1:8">
      <c r="A17" s="174">
        <v>210</v>
      </c>
      <c r="B17" s="174">
        <v>65.52</v>
      </c>
      <c r="C17" s="175">
        <v>47.03</v>
      </c>
      <c r="D17" s="176">
        <f t="shared" si="0"/>
        <v>112.55</v>
      </c>
      <c r="E17" s="173">
        <v>3670</v>
      </c>
      <c r="F17" s="177">
        <f t="shared" si="1"/>
        <v>413058.5</v>
      </c>
      <c r="G17" s="177">
        <f t="shared" si="2"/>
        <v>413050</v>
      </c>
      <c r="H17" s="177">
        <f t="shared" si="3"/>
        <v>4130500</v>
      </c>
    </row>
    <row r="18" spans="1:8">
      <c r="A18" s="174">
        <v>211</v>
      </c>
      <c r="B18" s="174">
        <v>65.52</v>
      </c>
      <c r="C18" s="175">
        <v>47.03</v>
      </c>
      <c r="D18" s="176">
        <f t="shared" si="0"/>
        <v>112.55</v>
      </c>
      <c r="E18" s="173">
        <v>3670</v>
      </c>
      <c r="F18" s="177">
        <f t="shared" si="1"/>
        <v>413058.5</v>
      </c>
      <c r="G18" s="177">
        <f t="shared" si="2"/>
        <v>413050</v>
      </c>
      <c r="H18" s="177">
        <f t="shared" si="3"/>
        <v>4130500</v>
      </c>
    </row>
    <row r="19" spans="1:8">
      <c r="A19" s="174">
        <v>212</v>
      </c>
      <c r="B19" s="174">
        <v>165.28</v>
      </c>
      <c r="C19" s="175">
        <v>116.87</v>
      </c>
      <c r="D19" s="176">
        <f t="shared" si="0"/>
        <v>282.14999999999998</v>
      </c>
      <c r="E19" s="173">
        <v>3670</v>
      </c>
      <c r="F19" s="177">
        <f t="shared" si="1"/>
        <v>1035490.4999999999</v>
      </c>
      <c r="G19" s="177">
        <f t="shared" si="2"/>
        <v>1035490</v>
      </c>
      <c r="H19" s="177">
        <f t="shared" si="3"/>
        <v>10354900</v>
      </c>
    </row>
    <row r="20" spans="1:8">
      <c r="A20" s="174">
        <v>213</v>
      </c>
      <c r="B20" s="174">
        <v>67.709999999999994</v>
      </c>
      <c r="C20" s="175">
        <v>47.88</v>
      </c>
      <c r="D20" s="176">
        <f t="shared" si="0"/>
        <v>115.59</v>
      </c>
      <c r="E20" s="173">
        <v>3670</v>
      </c>
      <c r="F20" s="177">
        <f t="shared" si="1"/>
        <v>424215.3</v>
      </c>
      <c r="G20" s="177">
        <f t="shared" si="2"/>
        <v>424210</v>
      </c>
      <c r="H20" s="177">
        <f t="shared" si="3"/>
        <v>4242100</v>
      </c>
    </row>
    <row r="21" spans="1:8">
      <c r="A21" s="166">
        <v>301</v>
      </c>
      <c r="B21" s="166">
        <v>67.41</v>
      </c>
      <c r="C21" s="167">
        <v>47.66</v>
      </c>
      <c r="D21" s="168">
        <f t="shared" si="0"/>
        <v>115.07</v>
      </c>
      <c r="E21" s="173">
        <v>3670</v>
      </c>
      <c r="F21" s="169">
        <f t="shared" si="1"/>
        <v>422306.89999999997</v>
      </c>
      <c r="G21" s="169">
        <f>ROUNDDOWN(F21,-1)</f>
        <v>422300</v>
      </c>
      <c r="H21" s="169">
        <f t="shared" si="3"/>
        <v>4223000</v>
      </c>
    </row>
    <row r="22" spans="1:8">
      <c r="A22" s="166">
        <v>302</v>
      </c>
      <c r="B22" s="166">
        <v>65.52</v>
      </c>
      <c r="C22" s="167">
        <v>46.33</v>
      </c>
      <c r="D22" s="168">
        <f t="shared" si="0"/>
        <v>111.85</v>
      </c>
      <c r="E22" s="173">
        <v>3670</v>
      </c>
      <c r="F22" s="169">
        <f t="shared" si="1"/>
        <v>410489.5</v>
      </c>
      <c r="G22" s="169">
        <f t="shared" si="2"/>
        <v>410480</v>
      </c>
      <c r="H22" s="169">
        <f t="shared" si="3"/>
        <v>4104800</v>
      </c>
    </row>
    <row r="23" spans="1:8">
      <c r="A23" s="166">
        <v>303</v>
      </c>
      <c r="B23" s="166">
        <v>65.52</v>
      </c>
      <c r="C23" s="167">
        <v>46.33</v>
      </c>
      <c r="D23" s="168">
        <f t="shared" si="0"/>
        <v>111.85</v>
      </c>
      <c r="E23" s="173">
        <v>3670</v>
      </c>
      <c r="F23" s="169">
        <f t="shared" si="1"/>
        <v>410489.5</v>
      </c>
      <c r="G23" s="169">
        <f t="shared" si="2"/>
        <v>410480</v>
      </c>
      <c r="H23" s="169">
        <f t="shared" si="3"/>
        <v>4104800</v>
      </c>
    </row>
    <row r="24" spans="1:8">
      <c r="A24" s="166">
        <v>304</v>
      </c>
      <c r="B24" s="166">
        <v>65.52</v>
      </c>
      <c r="C24" s="167">
        <v>46.33</v>
      </c>
      <c r="D24" s="168">
        <f t="shared" si="0"/>
        <v>111.85</v>
      </c>
      <c r="E24" s="173">
        <v>3670</v>
      </c>
      <c r="F24" s="169">
        <f t="shared" si="1"/>
        <v>410489.5</v>
      </c>
      <c r="G24" s="169">
        <f t="shared" si="2"/>
        <v>410480</v>
      </c>
      <c r="H24" s="169">
        <f t="shared" si="3"/>
        <v>4104800</v>
      </c>
    </row>
    <row r="25" spans="1:8">
      <c r="A25" s="166">
        <v>305</v>
      </c>
      <c r="B25" s="166">
        <v>65.52</v>
      </c>
      <c r="C25" s="167">
        <v>46.33</v>
      </c>
      <c r="D25" s="168">
        <f t="shared" si="0"/>
        <v>111.85</v>
      </c>
      <c r="E25" s="173">
        <v>3670</v>
      </c>
      <c r="F25" s="169">
        <f t="shared" si="1"/>
        <v>410489.5</v>
      </c>
      <c r="G25" s="169">
        <f t="shared" si="2"/>
        <v>410480</v>
      </c>
      <c r="H25" s="169">
        <f t="shared" si="3"/>
        <v>4104800</v>
      </c>
    </row>
    <row r="26" spans="1:8">
      <c r="A26" s="166">
        <v>306</v>
      </c>
      <c r="B26" s="166">
        <v>86.58</v>
      </c>
      <c r="C26" s="167">
        <v>61.22</v>
      </c>
      <c r="D26" s="168">
        <f t="shared" si="0"/>
        <v>147.80000000000001</v>
      </c>
      <c r="E26" s="173">
        <v>3670</v>
      </c>
      <c r="F26" s="169">
        <f t="shared" si="1"/>
        <v>542426</v>
      </c>
      <c r="G26" s="169">
        <f t="shared" si="2"/>
        <v>542420</v>
      </c>
      <c r="H26" s="169">
        <f t="shared" si="3"/>
        <v>5424200</v>
      </c>
    </row>
    <row r="27" spans="1:8">
      <c r="A27" s="166">
        <v>307</v>
      </c>
      <c r="B27" s="166">
        <v>65.52</v>
      </c>
      <c r="C27" s="167">
        <v>46.33</v>
      </c>
      <c r="D27" s="168">
        <f t="shared" si="0"/>
        <v>111.85</v>
      </c>
      <c r="E27" s="173">
        <v>3670</v>
      </c>
      <c r="F27" s="169">
        <f t="shared" si="1"/>
        <v>410489.5</v>
      </c>
      <c r="G27" s="169">
        <f t="shared" si="2"/>
        <v>410480</v>
      </c>
      <c r="H27" s="169">
        <f t="shared" si="3"/>
        <v>4104800</v>
      </c>
    </row>
    <row r="28" spans="1:8">
      <c r="A28" s="166">
        <v>308</v>
      </c>
      <c r="B28" s="166">
        <v>65.52</v>
      </c>
      <c r="C28" s="167">
        <v>46.33</v>
      </c>
      <c r="D28" s="168">
        <f t="shared" si="0"/>
        <v>111.85</v>
      </c>
      <c r="E28" s="173">
        <v>3670</v>
      </c>
      <c r="F28" s="169">
        <f t="shared" si="1"/>
        <v>410489.5</v>
      </c>
      <c r="G28" s="169">
        <f t="shared" si="2"/>
        <v>410480</v>
      </c>
      <c r="H28" s="169">
        <f t="shared" si="3"/>
        <v>4104800</v>
      </c>
    </row>
    <row r="29" spans="1:8">
      <c r="A29" s="166">
        <v>309</v>
      </c>
      <c r="B29" s="166">
        <v>65.52</v>
      </c>
      <c r="C29" s="167">
        <v>46.33</v>
      </c>
      <c r="D29" s="168">
        <f t="shared" si="0"/>
        <v>111.85</v>
      </c>
      <c r="E29" s="173">
        <v>3670</v>
      </c>
      <c r="F29" s="169">
        <f t="shared" si="1"/>
        <v>410489.5</v>
      </c>
      <c r="G29" s="169">
        <f t="shared" si="2"/>
        <v>410480</v>
      </c>
      <c r="H29" s="169">
        <f t="shared" si="3"/>
        <v>4104800</v>
      </c>
    </row>
    <row r="30" spans="1:8">
      <c r="A30" s="166">
        <v>310</v>
      </c>
      <c r="B30" s="166">
        <v>65.52</v>
      </c>
      <c r="C30" s="167">
        <v>46.33</v>
      </c>
      <c r="D30" s="168">
        <f t="shared" si="0"/>
        <v>111.85</v>
      </c>
      <c r="E30" s="173">
        <v>3670</v>
      </c>
      <c r="F30" s="169">
        <f t="shared" si="1"/>
        <v>410489.5</v>
      </c>
      <c r="G30" s="169">
        <f t="shared" si="2"/>
        <v>410480</v>
      </c>
      <c r="H30" s="169">
        <f t="shared" si="3"/>
        <v>4104800</v>
      </c>
    </row>
    <row r="31" spans="1:8">
      <c r="A31" s="166">
        <v>311</v>
      </c>
      <c r="B31" s="166">
        <v>165.28</v>
      </c>
      <c r="C31" s="167">
        <v>116.87</v>
      </c>
      <c r="D31" s="168">
        <f t="shared" si="0"/>
        <v>282.14999999999998</v>
      </c>
      <c r="E31" s="173">
        <v>3670</v>
      </c>
      <c r="F31" s="169">
        <f t="shared" si="1"/>
        <v>1035490.4999999999</v>
      </c>
      <c r="G31" s="169">
        <f t="shared" si="2"/>
        <v>1035490</v>
      </c>
      <c r="H31" s="169">
        <f t="shared" si="3"/>
        <v>10354900</v>
      </c>
    </row>
    <row r="32" spans="1:8">
      <c r="A32" s="166">
        <v>312</v>
      </c>
      <c r="B32" s="166">
        <v>67.709999999999994</v>
      </c>
      <c r="C32" s="167">
        <v>47.88</v>
      </c>
      <c r="D32" s="168">
        <f t="shared" si="0"/>
        <v>115.59</v>
      </c>
      <c r="E32" s="173">
        <v>3670</v>
      </c>
      <c r="F32" s="169">
        <f t="shared" si="1"/>
        <v>424215.3</v>
      </c>
      <c r="G32" s="169">
        <f t="shared" si="2"/>
        <v>424210</v>
      </c>
      <c r="H32" s="169">
        <f t="shared" si="3"/>
        <v>4242100</v>
      </c>
    </row>
    <row r="33" spans="1:8">
      <c r="A33" s="174">
        <v>401</v>
      </c>
      <c r="B33" s="174">
        <v>68.84</v>
      </c>
      <c r="C33" s="175">
        <v>48.68</v>
      </c>
      <c r="D33" s="176">
        <f t="shared" si="0"/>
        <v>117.52000000000001</v>
      </c>
      <c r="E33" s="173">
        <v>3670</v>
      </c>
      <c r="F33" s="177">
        <f t="shared" si="1"/>
        <v>431298.4</v>
      </c>
      <c r="G33" s="177">
        <f t="shared" si="2"/>
        <v>431290</v>
      </c>
      <c r="H33" s="177">
        <f t="shared" si="3"/>
        <v>4312900</v>
      </c>
    </row>
    <row r="34" spans="1:8">
      <c r="A34" s="174">
        <v>402</v>
      </c>
      <c r="B34" s="174">
        <v>86.58</v>
      </c>
      <c r="C34" s="175">
        <v>61.22</v>
      </c>
      <c r="D34" s="176">
        <f t="shared" si="0"/>
        <v>147.80000000000001</v>
      </c>
      <c r="E34" s="173">
        <v>3670</v>
      </c>
      <c r="F34" s="177">
        <f t="shared" si="1"/>
        <v>542426</v>
      </c>
      <c r="G34" s="177">
        <f t="shared" si="2"/>
        <v>542420</v>
      </c>
      <c r="H34" s="177">
        <f t="shared" si="3"/>
        <v>5424200</v>
      </c>
    </row>
    <row r="35" spans="1:8">
      <c r="A35" s="174">
        <v>403</v>
      </c>
      <c r="B35" s="174">
        <v>65.52</v>
      </c>
      <c r="C35" s="175">
        <v>46.33</v>
      </c>
      <c r="D35" s="176">
        <f t="shared" si="0"/>
        <v>111.85</v>
      </c>
      <c r="E35" s="173">
        <v>3670</v>
      </c>
      <c r="F35" s="177">
        <f t="shared" si="1"/>
        <v>410489.5</v>
      </c>
      <c r="G35" s="177">
        <f t="shared" si="2"/>
        <v>410480</v>
      </c>
      <c r="H35" s="177">
        <f t="shared" si="3"/>
        <v>4104800</v>
      </c>
    </row>
    <row r="36" spans="1:8">
      <c r="A36" s="174">
        <v>404</v>
      </c>
      <c r="B36" s="174">
        <v>65.52</v>
      </c>
      <c r="C36" s="175">
        <v>46.33</v>
      </c>
      <c r="D36" s="176">
        <f t="shared" si="0"/>
        <v>111.85</v>
      </c>
      <c r="E36" s="173">
        <v>3670</v>
      </c>
      <c r="F36" s="177">
        <f t="shared" si="1"/>
        <v>410489.5</v>
      </c>
      <c r="G36" s="177">
        <f t="shared" si="2"/>
        <v>410480</v>
      </c>
      <c r="H36" s="177">
        <f t="shared" si="3"/>
        <v>4104800</v>
      </c>
    </row>
    <row r="37" spans="1:8">
      <c r="A37" s="174">
        <v>405</v>
      </c>
      <c r="B37" s="174">
        <v>65.52</v>
      </c>
      <c r="C37" s="175">
        <v>46.33</v>
      </c>
      <c r="D37" s="176">
        <f t="shared" si="0"/>
        <v>111.85</v>
      </c>
      <c r="E37" s="173">
        <v>3670</v>
      </c>
      <c r="F37" s="177">
        <f t="shared" si="1"/>
        <v>410489.5</v>
      </c>
      <c r="G37" s="177">
        <f t="shared" si="2"/>
        <v>410480</v>
      </c>
      <c r="H37" s="177">
        <f t="shared" si="3"/>
        <v>4104800</v>
      </c>
    </row>
    <row r="38" spans="1:8">
      <c r="A38" s="174">
        <v>406</v>
      </c>
      <c r="B38" s="174">
        <v>65.52</v>
      </c>
      <c r="C38" s="175">
        <v>46.33</v>
      </c>
      <c r="D38" s="176">
        <f t="shared" si="0"/>
        <v>111.85</v>
      </c>
      <c r="E38" s="173">
        <v>3670</v>
      </c>
      <c r="F38" s="177">
        <f t="shared" si="1"/>
        <v>410489.5</v>
      </c>
      <c r="G38" s="177">
        <f t="shared" si="2"/>
        <v>410480</v>
      </c>
      <c r="H38" s="177">
        <f t="shared" si="3"/>
        <v>4104800</v>
      </c>
    </row>
    <row r="39" spans="1:8">
      <c r="A39" s="174">
        <v>407</v>
      </c>
      <c r="B39" s="174">
        <v>162.85</v>
      </c>
      <c r="C39" s="175">
        <v>115.15</v>
      </c>
      <c r="D39" s="176">
        <f t="shared" si="0"/>
        <v>278</v>
      </c>
      <c r="E39" s="173">
        <v>3670</v>
      </c>
      <c r="F39" s="177">
        <f t="shared" si="1"/>
        <v>1020260</v>
      </c>
      <c r="G39" s="177">
        <f t="shared" si="2"/>
        <v>1020260</v>
      </c>
      <c r="H39" s="177">
        <f t="shared" si="3"/>
        <v>10202600</v>
      </c>
    </row>
    <row r="40" spans="1:8">
      <c r="B40" s="164">
        <f>SUM(B3:B39)</f>
        <v>3290.44</v>
      </c>
      <c r="C40" s="164">
        <f t="shared" ref="C40:G40" si="4">SUM(C3:C39)</f>
        <v>2332.2699999999995</v>
      </c>
      <c r="D40" s="165">
        <f t="shared" si="4"/>
        <v>5622.7100000000037</v>
      </c>
      <c r="E40" s="165">
        <f t="shared" si="4"/>
        <v>135790</v>
      </c>
      <c r="F40" s="165">
        <f t="shared" si="4"/>
        <v>20635345.699999999</v>
      </c>
      <c r="G40" s="165">
        <f t="shared" si="4"/>
        <v>20635080</v>
      </c>
      <c r="H40" s="165">
        <f t="shared" si="3"/>
        <v>206350800</v>
      </c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</vt:i4>
      </vt:variant>
    </vt:vector>
  </HeadingPairs>
  <TitlesOfParts>
    <vt:vector size="7" baseType="lpstr">
      <vt:lpstr>층별현황(개요상)</vt:lpstr>
      <vt:lpstr>층별세부현황(용도 및 면적)</vt:lpstr>
      <vt:lpstr>임대공간(공장 및 편의시설) 면적표</vt:lpstr>
      <vt:lpstr>사용료 계산</vt:lpstr>
      <vt:lpstr>공유재산업무편람</vt:lpstr>
      <vt:lpstr>층별 월임대료 및 보증금 계산</vt:lpstr>
      <vt:lpstr>'사용료 계산'!Print_Area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제주도청</dc:creator>
  <cp:lastModifiedBy>USER</cp:lastModifiedBy>
  <cp:lastPrinted>2025-05-27T12:56:33Z</cp:lastPrinted>
  <dcterms:created xsi:type="dcterms:W3CDTF">2025-02-23T08:43:46Z</dcterms:created>
  <dcterms:modified xsi:type="dcterms:W3CDTF">2026-10-01T07:55:47Z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UtMDYtMTNUMDU6MDg6NDdaIiwicElEIjoyMDQ4LCJ0cmFjZUlkIjoiOEM3RTQyNDgwODZDNEJGRTlFRkFENzlDQjcxOEI1QjEiLCJ1c2VyQ29kZSI6Imh5YzIwNzUifSwibm9kZTIiOnsiZHNkIjoiMDEwMDAwMDAwMDAwMjU1OCIsImxvZ1RpbWUiOiIyMDI1LTA2LTEzVDA1OjMyOjM4WiIsInBJRCI6MSwidHJhY2VJZCI6IkQ2MTY0RDQ1MzAxODRCNUU4MjcxQjY2MEQyQzAyMzRBIiwidXNlckNvZGUiOiJoeWMyMDc1In0sIm5vZGUzIjp7ImRzZCI6IjAwMDAwMDAwMDAwMDAwMDAiLCJsb2dUaW1lIjoiMjAyNS0wNi0xM1QwNTozMzozNVoiLCJwSUQiOjIwNDgsInRyYWNlSWQiOiI1NTM1MTMxODZBRTI0Q0E3OEVCNDMxNUE5NjE5MDg0MyIsInVzZXJDb2RlIjoiaHljMjA3NSJ9LCJub2RlNCI6eyJkc2QiOiIwMTAwMDAwMDAwMDAyNTU4IiwibG9nVGltZSI6IjIwMjUtMDYtMThUMDA6MDE6MDhaIiwicElEIjoxLCJ0cmFjZUlkIjoiM0ZCRDE3QzM2ODBGNEQ2M0I0Qzc4NjcxNTgyMDU5RkMiLCJ1c2VyQ29kZSI6Imh5YzIwNzUifSwibm9kZTUiOnsiZHNkIjoiMDAwMDAwMDAwMDAwMDAwMCIsImxvZ1RpbWUiOiIyMDI1LTA2LTE4VDAwOjAxOjE0WiIsInBJRCI6MjA0OCwidHJhY2VJZCI6IjBGNEEwMjgxRDE3OTQ1M0I5RjZEQURGMjM3OUNEQzFDIiwidXNlckNvZGUiOiJoeWMyMDc1In0sIm5vZGVDb3VudCI6OX0=</vt:lpwstr>
  </property>
</Properties>
</file>